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1 вариант без инд." sheetId="1" r:id="rId1"/>
    <sheet name="2 вар. ФОТ 01.06.22 +4,7%" sheetId="4" r:id="rId2"/>
    <sheet name="3 вар. ФОТ 01.06.22 +4,7% и1окл" sheetId="5" r:id="rId3"/>
  </sheets>
  <calcPr calcId="145621"/>
</workbook>
</file>

<file path=xl/calcChain.xml><?xml version="1.0" encoding="utf-8"?>
<calcChain xmlns="http://schemas.openxmlformats.org/spreadsheetml/2006/main">
  <c r="F17" i="5" l="1"/>
  <c r="F15" i="5"/>
  <c r="F13" i="5" s="1"/>
  <c r="F14" i="5"/>
  <c r="F11" i="5"/>
  <c r="F7" i="5"/>
  <c r="F5" i="5" s="1"/>
  <c r="F6" i="5"/>
  <c r="F10" i="5"/>
  <c r="F9" i="5" s="1"/>
  <c r="E17" i="5"/>
  <c r="C17" i="5"/>
  <c r="B17" i="5"/>
  <c r="E15" i="5"/>
  <c r="C15" i="5"/>
  <c r="B15" i="5"/>
  <c r="E14" i="5"/>
  <c r="C14" i="5"/>
  <c r="C13" i="5" s="1"/>
  <c r="B14" i="5"/>
  <c r="E13" i="5"/>
  <c r="D13" i="5"/>
  <c r="D19" i="5" s="1"/>
  <c r="B13" i="5"/>
  <c r="E11" i="5"/>
  <c r="B11" i="5"/>
  <c r="C11" i="5" s="1"/>
  <c r="E10" i="5"/>
  <c r="B10" i="5"/>
  <c r="C10" i="5" s="1"/>
  <c r="E9" i="5"/>
  <c r="D9" i="5"/>
  <c r="B9" i="5"/>
  <c r="B7" i="5"/>
  <c r="E7" i="5" s="1"/>
  <c r="B6" i="5"/>
  <c r="E6" i="5" s="1"/>
  <c r="E5" i="5" s="1"/>
  <c r="E19" i="5" s="1"/>
  <c r="D5" i="5"/>
  <c r="B5" i="5"/>
  <c r="B19" i="5" s="1"/>
  <c r="F19" i="5" l="1"/>
  <c r="C9" i="5"/>
  <c r="C6" i="5"/>
  <c r="C7" i="5"/>
  <c r="C19" i="4"/>
  <c r="C17" i="4"/>
  <c r="C15" i="4"/>
  <c r="C14" i="4"/>
  <c r="C13" i="4" s="1"/>
  <c r="C11" i="4"/>
  <c r="C10" i="4"/>
  <c r="C9" i="4" s="1"/>
  <c r="C7" i="4"/>
  <c r="C6" i="4"/>
  <c r="C5" i="4" s="1"/>
  <c r="C5" i="5" l="1"/>
  <c r="C19" i="5" s="1"/>
  <c r="F17" i="4"/>
  <c r="E17" i="4"/>
  <c r="B17" i="4"/>
  <c r="F15" i="4"/>
  <c r="E15" i="4"/>
  <c r="B15" i="4"/>
  <c r="F14" i="4"/>
  <c r="B14" i="4"/>
  <c r="E14" i="4" s="1"/>
  <c r="F13" i="4"/>
  <c r="B13" i="4"/>
  <c r="F11" i="4"/>
  <c r="E11" i="4"/>
  <c r="B11" i="4"/>
  <c r="F10" i="4"/>
  <c r="E10" i="4"/>
  <c r="B10" i="4"/>
  <c r="F9" i="4"/>
  <c r="D9" i="4"/>
  <c r="B9" i="4"/>
  <c r="F7" i="4"/>
  <c r="E7" i="4"/>
  <c r="B7" i="4"/>
  <c r="F6" i="4"/>
  <c r="E6" i="4"/>
  <c r="B6" i="4"/>
  <c r="B5" i="4" s="1"/>
  <c r="B19" i="4" s="1"/>
  <c r="F5" i="4"/>
  <c r="F19" i="4" s="1"/>
  <c r="D5" i="4"/>
  <c r="E5" i="4" l="1"/>
  <c r="E13" i="4"/>
  <c r="E9" i="4"/>
  <c r="D13" i="4"/>
  <c r="D19" i="4" s="1"/>
  <c r="E15" i="1"/>
  <c r="E14" i="1"/>
  <c r="E11" i="1"/>
  <c r="E7" i="1"/>
  <c r="E10" i="1"/>
  <c r="E6" i="1"/>
  <c r="E17" i="1"/>
  <c r="C15" i="1"/>
  <c r="E19" i="4" l="1"/>
  <c r="C11" i="1"/>
  <c r="D17" i="1"/>
  <c r="D15" i="1"/>
  <c r="D14" i="1"/>
  <c r="D11" i="1"/>
  <c r="D10" i="1"/>
  <c r="D9" i="1" s="1"/>
  <c r="C10" i="1"/>
  <c r="D7" i="1"/>
  <c r="D5" i="1" s="1"/>
  <c r="D6" i="1"/>
  <c r="C7" i="1"/>
  <c r="C6" i="1"/>
  <c r="C13" i="1"/>
  <c r="E13" i="1"/>
  <c r="C9" i="1"/>
  <c r="E9" i="1"/>
  <c r="C5" i="1"/>
  <c r="E5" i="1"/>
  <c r="B19" i="1"/>
  <c r="B14" i="1"/>
  <c r="B15" i="1"/>
  <c r="B13" i="1" s="1"/>
  <c r="B10" i="1"/>
  <c r="B9" i="1" s="1"/>
  <c r="B11" i="1"/>
  <c r="B17" i="1"/>
  <c r="B7" i="1"/>
  <c r="B6" i="1"/>
  <c r="B5" i="1" s="1"/>
  <c r="E19" i="1" l="1"/>
  <c r="D13" i="1"/>
  <c r="D19" i="1"/>
  <c r="C19" i="1"/>
</calcChain>
</file>

<file path=xl/comments1.xml><?xml version="1.0" encoding="utf-8"?>
<comments xmlns="http://schemas.openxmlformats.org/spreadsheetml/2006/main">
  <authors>
    <author>Автор</author>
  </authors>
  <commentList>
    <comment ref="B10" authorId="0">
      <text>
        <r>
          <rPr>
            <sz val="9"/>
            <color indexed="81"/>
            <rFont val="Tahoma"/>
            <family val="2"/>
            <charset val="204"/>
          </rPr>
          <t xml:space="preserve">+вакансия уборщицы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10" authorId="0">
      <text>
        <r>
          <rPr>
            <sz val="9"/>
            <color indexed="81"/>
            <rFont val="Tahoma"/>
            <family val="2"/>
            <charset val="204"/>
          </rPr>
          <t xml:space="preserve">+вакансия уборщицы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10" authorId="0">
      <text>
        <r>
          <rPr>
            <sz val="9"/>
            <color indexed="81"/>
            <rFont val="Tahoma"/>
            <family val="2"/>
            <charset val="204"/>
          </rPr>
          <t xml:space="preserve">+вакансия уборщицы
</t>
        </r>
      </text>
    </comment>
  </commentList>
</comments>
</file>

<file path=xl/sharedStrings.xml><?xml version="1.0" encoding="utf-8"?>
<sst xmlns="http://schemas.openxmlformats.org/spreadsheetml/2006/main" count="71" uniqueCount="25">
  <si>
    <t>Наименование учреждения</t>
  </si>
  <si>
    <t>МКУ СШ "Нейтрон"</t>
  </si>
  <si>
    <t>штатная расстановка</t>
  </si>
  <si>
    <t>тарификация</t>
  </si>
  <si>
    <t>МБУ СШ "ЛАДА" г.Димитровград</t>
  </si>
  <si>
    <t xml:space="preserve">МБУ СШ </t>
  </si>
  <si>
    <t>ВСЕГО:</t>
  </si>
  <si>
    <t>ФОТ (без учета вакансий) на 01.06.2022 г.</t>
  </si>
  <si>
    <t>МАУ "СК "Нейтрон" штатная расстановка</t>
  </si>
  <si>
    <t xml:space="preserve">ФИНАНСОВО-ЭКОНОМИЧЕСКОЕ ОБОСНОВАНИЕ К ПОСТАНОВЛЕНИЮ Об утверждении Положения об отраслевой системе оплаты труда работников муниципальных учреждений физической культуры и спорта, в отношении которых Комитет по физической культуре и спорту Администрации города Димитровграда Ульяновской области осуществляет функции и полномочия учредителя
</t>
  </si>
  <si>
    <t>Предварительная сумма                           2 должностных окладов без учета вакансий (для единовременной выплаты к отпуску в 2023 году)</t>
  </si>
  <si>
    <t>Предварительный ФОТ с учетом увеличения окладов с 01.10.22 и без учета изменения часовой нагрузки у тренеров (без учета вакансий) на 01.10.2022 г.</t>
  </si>
  <si>
    <t xml:space="preserve">            В новом положении об отраслевой системе оплаты труда устанавливаются базовые оклады в соответствии с проектом постановления Администрации города "Об установлении размеров базовых окладов (должностных окладов) работников муниципальных учреждений по общеотраслевым профессиям рабочих и служащих города Димитровград Ульяновской области", увеличиваются  повышающие коэффициенты по должностям работников физической культуры и спорта муниципальных учреждений, что приводит к увеличению фиксированной части заработной платы. Соответственно уменьшаются проценты по стимулирующим выплатам -за стаж работы, за наличие почетного спортивного звания (кроме работников, занимающих должности "спортсмен", "спортсмен-инструктор"), за наличие спортивного звания (кроме работников, занимающих должности "спортсмен", "спортсмен-инструктор"). за наличие ученой степени. Уменьшается % соотношения должностного оклада заместителям руководителей учреждений и главным бухгалтерам учреждений от должностного оклада руководителей соответствующих учреждений. Исключается ежемесячная надбавка тренерам учреждений за подготовку высококвалифицированного спортсмена.</t>
  </si>
  <si>
    <t xml:space="preserve">            В новом положении об отраслевой системе оплаты труда устанавливаются базовые оклады в соответствии с проектом постановления Администрации города "Об установлении размеров базовых окладов (должностных окладов) работников муниципальных учреждений по общеотраслевым профессиям рабочих и служащих города Димитровград Ульяновской области", увеличиваются  повышающие коэффициенты по должностям работников физической культуры и спорта муниципальных учреждений, что приводит к увеличению фиксированной части заработной платы. </t>
  </si>
  <si>
    <t>Предварительная сумма увеличения месячного ФОТ с 01.10.2022 без учета вакансий</t>
  </si>
  <si>
    <t xml:space="preserve">              Данные предварительные расчеты подготовлены с учетом изменения с 01.10.2022 г. размеров базовых окладов (должностных окладов) работников муниципальных учреждений по общеотраслевым профессиям рабочих и должностей служащих города Димитровград Ульяновской области, вступления в силу нового положения по оплате труда с 01.10.2022 года,   без учета вакансий, без учета изменений часовой нагрузки тренеров с нового учебного года.</t>
  </si>
  <si>
    <t>Председатель Комитета</t>
  </si>
  <si>
    <t>И.Ю. Волков</t>
  </si>
  <si>
    <t>по физической культуре и спорту                                                                                       И.Ю. Волков</t>
  </si>
  <si>
    <t>Предварительный ФОТ с учетом увеличения окладов с 01.10.22, с учетом индексации ФОТ на 4,7% и без учета изменения часовой нагрузки у тренеров (без учета вакансий) на 01.10.2022 г.</t>
  </si>
  <si>
    <t>ФОТ (без учета вакансий) на 01.06.2022 г. с инд.4,7%</t>
  </si>
  <si>
    <t>Предварительная сумма                          1 должностного оклада без учета вакансий (для единовременной выплаты к отпуску в 2023 году)</t>
  </si>
  <si>
    <t xml:space="preserve">              Данные предварительные расчеты подготовлены с учетом изменения с 01.10.2022 г. размеров базовых окладов (должностных окладов) работников муниципальных учреждений по общеотраслевым профессиям рабочих и должностей служащих города Димитровград Ульяновской области, с учетом индексации ФОТ , действующего на 01.06.2022 на 4,7%, вступления в силу нового положения по оплате труда с 01.10.2022 года,   без учета вакансий, без учета изменений часовой нагрузки тренеров с нового учебного года.</t>
  </si>
  <si>
    <t>по физической культуре и спорту                                                                                                               И.П. Кувшинова</t>
  </si>
  <si>
    <t>И.о.Председателя Комитета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</si>
</sst>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3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2" xfId="0" applyFont="1" applyBorder="1"/>
    <xf numFmtId="43" fontId="5" fillId="0" borderId="2" xfId="1" applyFont="1" applyBorder="1"/>
    <xf numFmtId="0" fontId="5" fillId="0" borderId="0" xfId="0" applyFont="1"/>
    <xf numFmtId="0" fontId="7" fillId="0" borderId="1" xfId="0" applyFont="1" applyBorder="1" applyAlignment="1">
      <alignment horizontal="right"/>
    </xf>
    <xf numFmtId="43" fontId="7" fillId="0" borderId="1" xfId="1" applyFont="1" applyBorder="1"/>
    <xf numFmtId="0" fontId="7" fillId="0" borderId="0" xfId="0" applyFont="1"/>
    <xf numFmtId="0" fontId="6" fillId="0" borderId="1" xfId="0" applyFont="1" applyBorder="1"/>
    <xf numFmtId="43" fontId="6" fillId="0" borderId="1" xfId="1" applyFont="1" applyBorder="1"/>
    <xf numFmtId="0" fontId="6" fillId="0" borderId="0" xfId="0" applyFont="1"/>
    <xf numFmtId="0" fontId="5" fillId="0" borderId="1" xfId="0" applyFont="1" applyBorder="1" applyAlignment="1">
      <alignment wrapText="1"/>
    </xf>
    <xf numFmtId="43" fontId="5" fillId="0" borderId="1" xfId="1" applyFont="1" applyBorder="1"/>
    <xf numFmtId="0" fontId="6" fillId="0" borderId="6" xfId="0" applyFont="1" applyBorder="1" applyAlignment="1">
      <alignment horizontal="right"/>
    </xf>
    <xf numFmtId="43" fontId="6" fillId="0" borderId="6" xfId="1" applyFont="1" applyBorder="1"/>
    <xf numFmtId="0" fontId="5" fillId="0" borderId="3" xfId="0" applyFont="1" applyBorder="1" applyAlignment="1">
      <alignment horizontal="right"/>
    </xf>
    <xf numFmtId="43" fontId="5" fillId="0" borderId="4" xfId="1" applyFont="1" applyBorder="1"/>
    <xf numFmtId="43" fontId="5" fillId="0" borderId="5" xfId="1" applyFont="1" applyBorder="1"/>
    <xf numFmtId="0" fontId="6" fillId="0" borderId="0" xfId="0" applyFont="1" applyAlignment="1">
      <alignment horizontal="justify" wrapText="1"/>
    </xf>
    <xf numFmtId="0" fontId="5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opLeftCell="A4" workbookViewId="0">
      <selection activeCell="A25" sqref="A25"/>
    </sheetView>
  </sheetViews>
  <sheetFormatPr defaultRowHeight="15" x14ac:dyDescent="0.25"/>
  <cols>
    <col min="1" max="1" width="24.5703125" customWidth="1"/>
    <col min="2" max="2" width="16.42578125" customWidth="1"/>
    <col min="3" max="3" width="22.140625" customWidth="1"/>
    <col min="4" max="4" width="15" customWidth="1"/>
    <col min="5" max="5" width="17.85546875" customWidth="1"/>
  </cols>
  <sheetData>
    <row r="1" spans="1:14" s="1" customFormat="1" ht="104.25" customHeight="1" x14ac:dyDescent="0.25">
      <c r="A1" s="25" t="s">
        <v>9</v>
      </c>
      <c r="B1" s="25"/>
      <c r="C1" s="25"/>
      <c r="D1" s="25"/>
      <c r="E1" s="25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15.5" customHeight="1" x14ac:dyDescent="0.25">
      <c r="A2" s="24" t="s">
        <v>13</v>
      </c>
      <c r="B2" s="24"/>
      <c r="C2" s="24"/>
      <c r="D2" s="24"/>
      <c r="E2" s="2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228.75" customHeight="1" thickBot="1" x14ac:dyDescent="0.3">
      <c r="A3" s="24" t="s">
        <v>12</v>
      </c>
      <c r="B3" s="24"/>
      <c r="C3" s="24"/>
      <c r="D3" s="24"/>
      <c r="E3" s="24"/>
      <c r="F3" s="4"/>
      <c r="G3" s="4"/>
      <c r="H3" s="4"/>
      <c r="I3" s="4"/>
      <c r="J3" s="4"/>
      <c r="K3" s="4"/>
      <c r="L3" s="4"/>
      <c r="M3" s="4"/>
      <c r="N3" s="4"/>
    </row>
    <row r="4" spans="1:14" s="3" customFormat="1" ht="102" customHeight="1" thickBot="1" x14ac:dyDescent="0.25">
      <c r="A4" s="5" t="s">
        <v>0</v>
      </c>
      <c r="B4" s="6" t="s">
        <v>7</v>
      </c>
      <c r="C4" s="6" t="s">
        <v>11</v>
      </c>
      <c r="D4" s="6" t="s">
        <v>14</v>
      </c>
      <c r="E4" s="7" t="s">
        <v>10</v>
      </c>
      <c r="F4" s="2"/>
    </row>
    <row r="5" spans="1:14" s="10" customFormat="1" ht="15.75" x14ac:dyDescent="0.25">
      <c r="A5" s="8" t="s">
        <v>1</v>
      </c>
      <c r="B5" s="9">
        <f>B6+B7</f>
        <v>642896.92000000004</v>
      </c>
      <c r="C5" s="9">
        <f t="shared" ref="C5:E5" si="0">C6+C7</f>
        <v>690019.69000000006</v>
      </c>
      <c r="D5" s="9">
        <f t="shared" si="0"/>
        <v>47122.770000000019</v>
      </c>
      <c r="E5" s="9">
        <f t="shared" si="0"/>
        <v>1039234.86</v>
      </c>
    </row>
    <row r="6" spans="1:14" s="13" customFormat="1" ht="15.75" x14ac:dyDescent="0.25">
      <c r="A6" s="11" t="s">
        <v>2</v>
      </c>
      <c r="B6" s="12">
        <f>297156.64-15279-7802.85-15279</f>
        <v>258795.79000000004</v>
      </c>
      <c r="C6" s="12">
        <f>301310.59-15279-7818.58-15279</f>
        <v>262934.01</v>
      </c>
      <c r="D6" s="12">
        <f>C6-B6</f>
        <v>4138.2199999999721</v>
      </c>
      <c r="E6" s="12">
        <f>(208512.2-12968.55-5584.7-13092.06)*2</f>
        <v>353733.78</v>
      </c>
    </row>
    <row r="7" spans="1:14" s="13" customFormat="1" ht="15.75" x14ac:dyDescent="0.25">
      <c r="A7" s="11" t="s">
        <v>3</v>
      </c>
      <c r="B7" s="12">
        <f>646094.13-261993</f>
        <v>384101.13</v>
      </c>
      <c r="C7" s="12">
        <f>871968.56-444882.88</f>
        <v>427085.68000000005</v>
      </c>
      <c r="D7" s="12">
        <f>C7-B7</f>
        <v>42984.550000000047</v>
      </c>
      <c r="E7" s="12">
        <f>(724692.86-381942.32)*2</f>
        <v>685501.08</v>
      </c>
    </row>
    <row r="8" spans="1:14" s="16" customFormat="1" ht="5.25" customHeight="1" x14ac:dyDescent="0.25">
      <c r="A8" s="14"/>
      <c r="B8" s="15"/>
      <c r="C8" s="15"/>
      <c r="D8" s="15"/>
      <c r="E8" s="15"/>
    </row>
    <row r="9" spans="1:14" s="10" customFormat="1" ht="31.5" x14ac:dyDescent="0.25">
      <c r="A9" s="17" t="s">
        <v>4</v>
      </c>
      <c r="B9" s="18">
        <f>B10+B11</f>
        <v>1103700.7600000002</v>
      </c>
      <c r="C9" s="18">
        <f t="shared" ref="C9:E9" si="1">C10+C11</f>
        <v>1132008.81</v>
      </c>
      <c r="D9" s="18">
        <f t="shared" si="1"/>
        <v>28308.049999999814</v>
      </c>
      <c r="E9" s="18">
        <f t="shared" si="1"/>
        <v>1510832.24</v>
      </c>
    </row>
    <row r="10" spans="1:14" s="13" customFormat="1" ht="15.75" x14ac:dyDescent="0.25">
      <c r="A10" s="11" t="s">
        <v>2</v>
      </c>
      <c r="B10" s="12">
        <f>789443.79+4328.29</f>
        <v>793772.08000000007</v>
      </c>
      <c r="C10" s="12">
        <f>798002.46+19862.7</f>
        <v>817865.15999999992</v>
      </c>
      <c r="D10" s="12">
        <f t="shared" ref="D10:D11" si="2">C10-B10</f>
        <v>24093.079999999842</v>
      </c>
      <c r="E10" s="12">
        <f>(547522.98+13200.2)*2</f>
        <v>1121446.3599999999</v>
      </c>
    </row>
    <row r="11" spans="1:14" s="13" customFormat="1" ht="15.75" x14ac:dyDescent="0.25">
      <c r="A11" s="11" t="s">
        <v>3</v>
      </c>
      <c r="B11" s="12">
        <f>464831.45-342.97-26593.98-127965.82</f>
        <v>309928.68000000005</v>
      </c>
      <c r="C11" s="12">
        <f>490005.23-342.97-31658.09-143860.52</f>
        <v>314143.65000000002</v>
      </c>
      <c r="D11" s="12">
        <f t="shared" si="2"/>
        <v>4214.9699999999721</v>
      </c>
      <c r="E11" s="12">
        <f>(337841.03-17785.44-125362.65)*2</f>
        <v>389385.88000000006</v>
      </c>
    </row>
    <row r="12" spans="1:14" s="16" customFormat="1" ht="6.75" customHeight="1" x14ac:dyDescent="0.25">
      <c r="A12" s="14"/>
      <c r="B12" s="15"/>
      <c r="C12" s="15"/>
      <c r="D12" s="15"/>
      <c r="E12" s="15"/>
    </row>
    <row r="13" spans="1:14" s="10" customFormat="1" ht="15.75" x14ac:dyDescent="0.25">
      <c r="A13" s="17" t="s">
        <v>5</v>
      </c>
      <c r="B13" s="18">
        <f>B14+B15</f>
        <v>1619287.7799999998</v>
      </c>
      <c r="C13" s="18">
        <f t="shared" ref="C13:E13" si="3">C14+C15</f>
        <v>1669666.3699999999</v>
      </c>
      <c r="D13" s="18">
        <f t="shared" si="3"/>
        <v>50378.589999999967</v>
      </c>
      <c r="E13" s="18">
        <f t="shared" si="3"/>
        <v>1711048.2</v>
      </c>
    </row>
    <row r="14" spans="1:14" s="13" customFormat="1" ht="15.75" x14ac:dyDescent="0.25">
      <c r="A14" s="11" t="s">
        <v>2</v>
      </c>
      <c r="B14" s="12">
        <f>813422.09</f>
        <v>813422.09</v>
      </c>
      <c r="C14" s="12">
        <v>827677.25</v>
      </c>
      <c r="D14" s="12">
        <f t="shared" ref="D14:D15" si="4">C14-B14</f>
        <v>14255.160000000033</v>
      </c>
      <c r="E14" s="12">
        <f>333373.22*2</f>
        <v>666746.43999999994</v>
      </c>
    </row>
    <row r="15" spans="1:14" s="13" customFormat="1" ht="15.75" x14ac:dyDescent="0.25">
      <c r="A15" s="11" t="s">
        <v>3</v>
      </c>
      <c r="B15" s="12">
        <f>967592.07-146447.38-15279</f>
        <v>805865.69</v>
      </c>
      <c r="C15" s="12">
        <f>1124068.64-266800.52-15279</f>
        <v>841989.11999999988</v>
      </c>
      <c r="D15" s="12">
        <f t="shared" si="4"/>
        <v>36123.429999999935</v>
      </c>
      <c r="E15" s="12">
        <f>(756375.24-221873.36-12351)*2</f>
        <v>1044301.76</v>
      </c>
    </row>
    <row r="16" spans="1:14" s="16" customFormat="1" ht="4.5" customHeight="1" x14ac:dyDescent="0.25">
      <c r="A16" s="14"/>
      <c r="B16" s="15"/>
      <c r="C16" s="15"/>
      <c r="D16" s="15"/>
      <c r="E16" s="15"/>
    </row>
    <row r="17" spans="1:14" s="10" customFormat="1" ht="31.5" x14ac:dyDescent="0.25">
      <c r="A17" s="17" t="s">
        <v>8</v>
      </c>
      <c r="B17" s="18">
        <f>1410219.6</f>
        <v>1410219.6</v>
      </c>
      <c r="C17" s="18">
        <v>1458283.7</v>
      </c>
      <c r="D17" s="12">
        <f>C17-B17</f>
        <v>48064.09999999986</v>
      </c>
      <c r="E17" s="18">
        <f>1021416.4*2</f>
        <v>2042832.8</v>
      </c>
    </row>
    <row r="18" spans="1:14" s="16" customFormat="1" ht="16.5" thickBot="1" x14ac:dyDescent="0.3">
      <c r="A18" s="19"/>
      <c r="B18" s="20"/>
      <c r="C18" s="20"/>
      <c r="D18" s="20"/>
      <c r="E18" s="20"/>
    </row>
    <row r="19" spans="1:14" s="10" customFormat="1" ht="16.5" thickBot="1" x14ac:dyDescent="0.3">
      <c r="A19" s="21" t="s">
        <v>6</v>
      </c>
      <c r="B19" s="22">
        <f>B5+B9+B13+B17</f>
        <v>4776105.0600000005</v>
      </c>
      <c r="C19" s="22">
        <f t="shared" ref="C19:E19" si="5">C5+C9+C13+C17</f>
        <v>4949978.57</v>
      </c>
      <c r="D19" s="22">
        <f t="shared" si="5"/>
        <v>173873.50999999966</v>
      </c>
      <c r="E19" s="23">
        <f t="shared" si="5"/>
        <v>6303948.0999999996</v>
      </c>
    </row>
    <row r="20" spans="1:14" s="1" customFormat="1" ht="12.75" x14ac:dyDescent="0.2"/>
    <row r="21" spans="1:14" s="1" customFormat="1" ht="86.25" customHeight="1" x14ac:dyDescent="0.25">
      <c r="A21" s="24" t="s">
        <v>15</v>
      </c>
      <c r="B21" s="24"/>
      <c r="C21" s="24"/>
      <c r="D21" s="24"/>
      <c r="E21" s="24"/>
      <c r="F21" s="4"/>
      <c r="G21" s="4"/>
      <c r="H21" s="4"/>
      <c r="I21" s="4"/>
      <c r="J21" s="4"/>
      <c r="K21" s="4"/>
      <c r="L21" s="4"/>
      <c r="M21" s="4"/>
      <c r="N21" s="4"/>
    </row>
    <row r="22" spans="1:14" ht="15.75" x14ac:dyDescent="0.25">
      <c r="A22" s="24"/>
      <c r="B22" s="24"/>
      <c r="C22" s="24"/>
      <c r="D22" s="24"/>
      <c r="E22" s="24"/>
    </row>
    <row r="23" spans="1:14" ht="15.75" x14ac:dyDescent="0.25">
      <c r="A23" s="24" t="s">
        <v>16</v>
      </c>
      <c r="B23" s="24"/>
      <c r="C23" s="24"/>
      <c r="D23" s="24"/>
      <c r="E23" s="24"/>
    </row>
    <row r="24" spans="1:14" ht="15.75" x14ac:dyDescent="0.25">
      <c r="A24" s="24" t="s">
        <v>18</v>
      </c>
      <c r="B24" s="24"/>
      <c r="C24" s="24"/>
      <c r="D24" s="24"/>
      <c r="E24" s="24" t="s">
        <v>17</v>
      </c>
    </row>
  </sheetData>
  <mergeCells count="7">
    <mergeCell ref="A23:E23"/>
    <mergeCell ref="A24:E24"/>
    <mergeCell ref="A1:E1"/>
    <mergeCell ref="A3:E3"/>
    <mergeCell ref="A2:E2"/>
    <mergeCell ref="A21:E21"/>
    <mergeCell ref="A22:E22"/>
  </mergeCells>
  <pageMargins left="0.9055118110236221" right="0.31496062992125984" top="0.15748031496062992" bottom="0.15748031496062992" header="0.31496062992125984" footer="0.31496062992125984"/>
  <pageSetup paperSize="9" scale="88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workbookViewId="0">
      <selection activeCell="J2" sqref="J2"/>
    </sheetView>
  </sheetViews>
  <sheetFormatPr defaultRowHeight="15" x14ac:dyDescent="0.25"/>
  <cols>
    <col min="1" max="1" width="24.5703125" customWidth="1"/>
    <col min="2" max="3" width="16.42578125" customWidth="1"/>
    <col min="4" max="4" width="22.140625" customWidth="1"/>
    <col min="5" max="5" width="15" customWidth="1"/>
    <col min="6" max="6" width="17.85546875" customWidth="1"/>
  </cols>
  <sheetData>
    <row r="1" spans="1:15" s="1" customFormat="1" ht="104.25" customHeight="1" x14ac:dyDescent="0.25">
      <c r="A1" s="25" t="s">
        <v>9</v>
      </c>
      <c r="B1" s="25"/>
      <c r="C1" s="25"/>
      <c r="D1" s="25"/>
      <c r="E1" s="25"/>
      <c r="F1" s="25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97.5" customHeight="1" x14ac:dyDescent="0.25">
      <c r="A2" s="24" t="s">
        <v>13</v>
      </c>
      <c r="B2" s="24"/>
      <c r="C2" s="24"/>
      <c r="D2" s="24"/>
      <c r="E2" s="24"/>
      <c r="F2" s="2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196.5" customHeight="1" thickBot="1" x14ac:dyDescent="0.3">
      <c r="A3" s="24" t="s">
        <v>12</v>
      </c>
      <c r="B3" s="24"/>
      <c r="C3" s="24"/>
      <c r="D3" s="24"/>
      <c r="E3" s="24"/>
      <c r="F3" s="24"/>
      <c r="G3" s="4"/>
      <c r="H3" s="4"/>
      <c r="I3" s="4"/>
      <c r="J3" s="4"/>
      <c r="K3" s="4"/>
      <c r="L3" s="4"/>
      <c r="M3" s="4"/>
      <c r="N3" s="4"/>
      <c r="O3" s="4"/>
    </row>
    <row r="4" spans="1:15" s="3" customFormat="1" ht="102" customHeight="1" thickBot="1" x14ac:dyDescent="0.25">
      <c r="A4" s="5" t="s">
        <v>0</v>
      </c>
      <c r="B4" s="6" t="s">
        <v>7</v>
      </c>
      <c r="C4" s="6" t="s">
        <v>20</v>
      </c>
      <c r="D4" s="6" t="s">
        <v>19</v>
      </c>
      <c r="E4" s="6" t="s">
        <v>14</v>
      </c>
      <c r="F4" s="7" t="s">
        <v>10</v>
      </c>
      <c r="G4" s="2"/>
    </row>
    <row r="5" spans="1:15" s="10" customFormat="1" ht="59.25" customHeight="1" x14ac:dyDescent="0.25">
      <c r="A5" s="8" t="s">
        <v>1</v>
      </c>
      <c r="B5" s="9">
        <f>B6+B7</f>
        <v>642896.92000000004</v>
      </c>
      <c r="C5" s="9">
        <f>C6+C7</f>
        <v>673113.07524000003</v>
      </c>
      <c r="D5" s="9">
        <f t="shared" ref="D5:F5" si="0">D6+D7</f>
        <v>709384.92999999993</v>
      </c>
      <c r="E5" s="9">
        <f t="shared" si="0"/>
        <v>66488.009999999951</v>
      </c>
      <c r="F5" s="9">
        <f t="shared" si="0"/>
        <v>1039234.86</v>
      </c>
    </row>
    <row r="6" spans="1:15" s="13" customFormat="1" ht="59.25" customHeight="1" x14ac:dyDescent="0.25">
      <c r="A6" s="11" t="s">
        <v>2</v>
      </c>
      <c r="B6" s="12">
        <f>297156.64-15279-7802.85-15279</f>
        <v>258795.79000000004</v>
      </c>
      <c r="C6" s="12">
        <f>B6*1.047</f>
        <v>270959.19213000004</v>
      </c>
      <c r="D6" s="12">
        <v>273646.74</v>
      </c>
      <c r="E6" s="12">
        <f>D6-B6</f>
        <v>14850.949999999953</v>
      </c>
      <c r="F6" s="12">
        <f>(208512.2-12968.55-5584.7-13092.06)*2</f>
        <v>353733.78</v>
      </c>
    </row>
    <row r="7" spans="1:15" s="13" customFormat="1" ht="59.25" customHeight="1" x14ac:dyDescent="0.25">
      <c r="A7" s="11" t="s">
        <v>3</v>
      </c>
      <c r="B7" s="12">
        <f>646094.13-261993</f>
        <v>384101.13</v>
      </c>
      <c r="C7" s="12">
        <f>B7*1.047</f>
        <v>402153.88311</v>
      </c>
      <c r="D7" s="12">
        <v>435738.19</v>
      </c>
      <c r="E7" s="12">
        <f>D7-B7</f>
        <v>51637.06</v>
      </c>
      <c r="F7" s="12">
        <f>(724692.86-381942.32)*2</f>
        <v>685501.08</v>
      </c>
    </row>
    <row r="8" spans="1:15" s="16" customFormat="1" ht="59.25" customHeight="1" x14ac:dyDescent="0.25">
      <c r="A8" s="14"/>
      <c r="B8" s="15"/>
      <c r="C8" s="15"/>
      <c r="D8" s="15"/>
      <c r="E8" s="15"/>
      <c r="F8" s="15"/>
    </row>
    <row r="9" spans="1:15" s="10" customFormat="1" ht="59.25" customHeight="1" x14ac:dyDescent="0.25">
      <c r="A9" s="17" t="s">
        <v>4</v>
      </c>
      <c r="B9" s="18">
        <f>B10+B11</f>
        <v>1103700.7600000002</v>
      </c>
      <c r="C9" s="18">
        <f>C10+C11</f>
        <v>1155574.6957200002</v>
      </c>
      <c r="D9" s="18">
        <f t="shared" ref="D9:F9" si="1">D10+D11</f>
        <v>1168230.3500000001</v>
      </c>
      <c r="E9" s="18">
        <f t="shared" si="1"/>
        <v>64529.589999999851</v>
      </c>
      <c r="F9" s="18">
        <f t="shared" si="1"/>
        <v>1510832.24</v>
      </c>
    </row>
    <row r="10" spans="1:15" s="13" customFormat="1" ht="59.25" customHeight="1" x14ac:dyDescent="0.25">
      <c r="A10" s="11" t="s">
        <v>2</v>
      </c>
      <c r="B10" s="12">
        <f>789443.79+4328.29</f>
        <v>793772.08000000007</v>
      </c>
      <c r="C10" s="12">
        <f t="shared" ref="C10:C11" si="2">B10*1.047</f>
        <v>831079.36776000005</v>
      </c>
      <c r="D10" s="12">
        <v>836933.21</v>
      </c>
      <c r="E10" s="12">
        <f t="shared" ref="E10:E11" si="3">D10-B10</f>
        <v>43161.129999999888</v>
      </c>
      <c r="F10" s="12">
        <f>(547522.98+13200.2)*2</f>
        <v>1121446.3599999999</v>
      </c>
    </row>
    <row r="11" spans="1:15" s="13" customFormat="1" ht="59.25" customHeight="1" x14ac:dyDescent="0.25">
      <c r="A11" s="11" t="s">
        <v>3</v>
      </c>
      <c r="B11" s="12">
        <f>464831.45-342.97-26593.98-127965.82</f>
        <v>309928.68000000005</v>
      </c>
      <c r="C11" s="12">
        <f t="shared" si="2"/>
        <v>324495.32796000002</v>
      </c>
      <c r="D11" s="12">
        <v>331297.14</v>
      </c>
      <c r="E11" s="12">
        <f t="shared" si="3"/>
        <v>21368.459999999963</v>
      </c>
      <c r="F11" s="12">
        <f>(337841.03-17785.44-125362.65)*2</f>
        <v>389385.88000000006</v>
      </c>
    </row>
    <row r="12" spans="1:15" s="16" customFormat="1" ht="59.25" customHeight="1" x14ac:dyDescent="0.25">
      <c r="A12" s="14"/>
      <c r="B12" s="15"/>
      <c r="C12" s="15"/>
      <c r="D12" s="15"/>
      <c r="E12" s="15"/>
      <c r="F12" s="15"/>
    </row>
    <row r="13" spans="1:15" s="10" customFormat="1" ht="59.25" customHeight="1" x14ac:dyDescent="0.25">
      <c r="A13" s="17" t="s">
        <v>5</v>
      </c>
      <c r="B13" s="18">
        <f>B14+B15</f>
        <v>1619287.7799999998</v>
      </c>
      <c r="C13" s="18">
        <f>C14+C15</f>
        <v>1695394.3056599998</v>
      </c>
      <c r="D13" s="18">
        <f t="shared" ref="D13:F13" si="4">D14+D15</f>
        <v>1718310.1</v>
      </c>
      <c r="E13" s="18">
        <f t="shared" si="4"/>
        <v>99022.320000000065</v>
      </c>
      <c r="F13" s="18">
        <f t="shared" si="4"/>
        <v>1711048.2</v>
      </c>
    </row>
    <row r="14" spans="1:15" s="13" customFormat="1" ht="59.25" customHeight="1" x14ac:dyDescent="0.25">
      <c r="A14" s="11" t="s">
        <v>2</v>
      </c>
      <c r="B14" s="12">
        <f>813422.09</f>
        <v>813422.09</v>
      </c>
      <c r="C14" s="12">
        <f t="shared" ref="C14:C15" si="5">B14*1.047</f>
        <v>851652.92822999996</v>
      </c>
      <c r="D14" s="12">
        <v>846590.71</v>
      </c>
      <c r="E14" s="12">
        <f t="shared" ref="E14:E15" si="6">D14-B14</f>
        <v>33168.619999999995</v>
      </c>
      <c r="F14" s="12">
        <f>333373.22*2</f>
        <v>666746.43999999994</v>
      </c>
    </row>
    <row r="15" spans="1:15" s="13" customFormat="1" ht="59.25" customHeight="1" x14ac:dyDescent="0.25">
      <c r="A15" s="11" t="s">
        <v>3</v>
      </c>
      <c r="B15" s="12">
        <f>967592.07-146447.38-15279</f>
        <v>805865.69</v>
      </c>
      <c r="C15" s="12">
        <f t="shared" si="5"/>
        <v>843741.37742999988</v>
      </c>
      <c r="D15" s="12">
        <v>871719.39</v>
      </c>
      <c r="E15" s="12">
        <f t="shared" si="6"/>
        <v>65853.70000000007</v>
      </c>
      <c r="F15" s="12">
        <f>(756375.24-221873.36-12351)*2</f>
        <v>1044301.76</v>
      </c>
    </row>
    <row r="16" spans="1:15" s="16" customFormat="1" ht="59.25" customHeight="1" x14ac:dyDescent="0.25">
      <c r="A16" s="14"/>
      <c r="B16" s="15"/>
      <c r="C16" s="15"/>
      <c r="D16" s="15"/>
      <c r="E16" s="15"/>
      <c r="F16" s="15"/>
    </row>
    <row r="17" spans="1:15" s="10" customFormat="1" ht="59.25" customHeight="1" x14ac:dyDescent="0.25">
      <c r="A17" s="17" t="s">
        <v>8</v>
      </c>
      <c r="B17" s="18">
        <f>1410219.6</f>
        <v>1410219.6</v>
      </c>
      <c r="C17" s="18">
        <f>B17*1.047</f>
        <v>1476499.9212</v>
      </c>
      <c r="D17" s="18">
        <v>1481745.4</v>
      </c>
      <c r="E17" s="12">
        <f>D17-B17</f>
        <v>71525.799999999814</v>
      </c>
      <c r="F17" s="18">
        <f>1021416.4*2</f>
        <v>2042832.8</v>
      </c>
    </row>
    <row r="18" spans="1:15" s="16" customFormat="1" ht="59.25" customHeight="1" thickBot="1" x14ac:dyDescent="0.3">
      <c r="A18" s="19"/>
      <c r="B18" s="20"/>
      <c r="C18" s="20"/>
      <c r="D18" s="20"/>
      <c r="E18" s="20"/>
      <c r="F18" s="20"/>
    </row>
    <row r="19" spans="1:15" s="10" customFormat="1" ht="16.5" thickBot="1" x14ac:dyDescent="0.3">
      <c r="A19" s="21" t="s">
        <v>6</v>
      </c>
      <c r="B19" s="22">
        <f>B5+B9+B13+B17</f>
        <v>4776105.0600000005</v>
      </c>
      <c r="C19" s="22">
        <f>C5+C9+C13+C17</f>
        <v>5000581.9978200002</v>
      </c>
      <c r="D19" s="22">
        <f t="shared" ref="D19:F19" si="7">D5+D9+D13+D17</f>
        <v>5077670.7799999993</v>
      </c>
      <c r="E19" s="22">
        <f t="shared" si="7"/>
        <v>301565.71999999968</v>
      </c>
      <c r="F19" s="23">
        <f t="shared" si="7"/>
        <v>6303948.0999999996</v>
      </c>
    </row>
    <row r="20" spans="1:15" s="1" customFormat="1" ht="12.75" x14ac:dyDescent="0.2"/>
    <row r="21" spans="1:15" s="1" customFormat="1" ht="86.25" customHeight="1" x14ac:dyDescent="0.25">
      <c r="A21" s="24" t="s">
        <v>15</v>
      </c>
      <c r="B21" s="24"/>
      <c r="C21" s="24"/>
      <c r="D21" s="24"/>
      <c r="E21" s="24"/>
      <c r="F21" s="24"/>
      <c r="G21" s="4"/>
      <c r="H21" s="4"/>
      <c r="I21" s="4"/>
      <c r="J21" s="4"/>
      <c r="K21" s="4"/>
      <c r="L21" s="4"/>
      <c r="M21" s="4"/>
      <c r="N21" s="4"/>
      <c r="O21" s="4"/>
    </row>
    <row r="22" spans="1:15" ht="15.75" x14ac:dyDescent="0.25">
      <c r="A22" s="24"/>
      <c r="B22" s="24"/>
      <c r="C22" s="24"/>
      <c r="D22" s="24"/>
      <c r="E22" s="24"/>
      <c r="F22" s="24"/>
    </row>
    <row r="23" spans="1:15" ht="15.75" x14ac:dyDescent="0.25">
      <c r="A23" s="24" t="s">
        <v>16</v>
      </c>
      <c r="B23" s="24"/>
      <c r="C23" s="24"/>
      <c r="D23" s="24"/>
      <c r="E23" s="24"/>
      <c r="F23" s="24"/>
    </row>
    <row r="24" spans="1:15" ht="15.75" x14ac:dyDescent="0.25">
      <c r="A24" s="24" t="s">
        <v>18</v>
      </c>
      <c r="B24" s="24"/>
      <c r="C24" s="24"/>
      <c r="D24" s="24"/>
      <c r="E24" s="24"/>
      <c r="F24" s="24" t="s">
        <v>17</v>
      </c>
    </row>
  </sheetData>
  <mergeCells count="7">
    <mergeCell ref="A24:F24"/>
    <mergeCell ref="A1:F1"/>
    <mergeCell ref="A2:F2"/>
    <mergeCell ref="A3:F3"/>
    <mergeCell ref="A21:F21"/>
    <mergeCell ref="A22:F22"/>
    <mergeCell ref="A23:F23"/>
  </mergeCells>
  <pageMargins left="0.9055118110236221" right="0.31496062992125984" top="0.15748031496062992" bottom="0.15748031496062992" header="0.31496062992125984" footer="0.31496062992125984"/>
  <pageSetup paperSize="9" scale="56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topLeftCell="A2" workbookViewId="0">
      <selection activeCell="J25" sqref="J25"/>
    </sheetView>
  </sheetViews>
  <sheetFormatPr defaultRowHeight="15" x14ac:dyDescent="0.25"/>
  <cols>
    <col min="1" max="1" width="24.5703125" customWidth="1"/>
    <col min="2" max="3" width="16.42578125" customWidth="1"/>
    <col min="4" max="4" width="22.140625" customWidth="1"/>
    <col min="5" max="5" width="15" customWidth="1"/>
    <col min="6" max="6" width="17.85546875" customWidth="1"/>
  </cols>
  <sheetData>
    <row r="1" spans="1:15" s="1" customFormat="1" ht="104.25" customHeight="1" x14ac:dyDescent="0.25">
      <c r="A1" s="25" t="s">
        <v>9</v>
      </c>
      <c r="B1" s="25"/>
      <c r="C1" s="25"/>
      <c r="D1" s="25"/>
      <c r="E1" s="25"/>
      <c r="F1" s="25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97.5" customHeight="1" x14ac:dyDescent="0.25">
      <c r="A2" s="24" t="s">
        <v>13</v>
      </c>
      <c r="B2" s="24"/>
      <c r="C2" s="24"/>
      <c r="D2" s="24"/>
      <c r="E2" s="24"/>
      <c r="F2" s="2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196.5" customHeight="1" thickBot="1" x14ac:dyDescent="0.3">
      <c r="A3" s="24" t="s">
        <v>12</v>
      </c>
      <c r="B3" s="24"/>
      <c r="C3" s="24"/>
      <c r="D3" s="24"/>
      <c r="E3" s="24"/>
      <c r="F3" s="24"/>
      <c r="G3" s="4"/>
      <c r="H3" s="4"/>
      <c r="I3" s="4"/>
      <c r="J3" s="4"/>
      <c r="K3" s="4"/>
      <c r="L3" s="4"/>
      <c r="M3" s="4"/>
      <c r="N3" s="4"/>
      <c r="O3" s="4"/>
    </row>
    <row r="4" spans="1:15" s="3" customFormat="1" ht="117.75" customHeight="1" thickBot="1" x14ac:dyDescent="0.25">
      <c r="A4" s="5" t="s">
        <v>0</v>
      </c>
      <c r="B4" s="6" t="s">
        <v>7</v>
      </c>
      <c r="C4" s="6" t="s">
        <v>20</v>
      </c>
      <c r="D4" s="6" t="s">
        <v>19</v>
      </c>
      <c r="E4" s="6" t="s">
        <v>14</v>
      </c>
      <c r="F4" s="7" t="s">
        <v>21</v>
      </c>
      <c r="G4" s="2"/>
    </row>
    <row r="5" spans="1:15" s="10" customFormat="1" ht="59.25" customHeight="1" x14ac:dyDescent="0.25">
      <c r="A5" s="8" t="s">
        <v>1</v>
      </c>
      <c r="B5" s="9">
        <f>B6+B7</f>
        <v>642896.92000000004</v>
      </c>
      <c r="C5" s="9">
        <f>C6+C7</f>
        <v>673113.07524000003</v>
      </c>
      <c r="D5" s="9">
        <f t="shared" ref="D5:F5" si="0">D6+D7</f>
        <v>709384.92999999993</v>
      </c>
      <c r="E5" s="9">
        <f t="shared" si="0"/>
        <v>66488.009999999951</v>
      </c>
      <c r="F5" s="9">
        <f t="shared" si="0"/>
        <v>519617.43</v>
      </c>
    </row>
    <row r="6" spans="1:15" s="13" customFormat="1" ht="59.25" customHeight="1" x14ac:dyDescent="0.25">
      <c r="A6" s="11" t="s">
        <v>2</v>
      </c>
      <c r="B6" s="12">
        <f>297156.64-15279-7802.85-15279</f>
        <v>258795.79000000004</v>
      </c>
      <c r="C6" s="12">
        <f>B6*1.047</f>
        <v>270959.19213000004</v>
      </c>
      <c r="D6" s="12">
        <v>273646.74</v>
      </c>
      <c r="E6" s="12">
        <f>D6-B6</f>
        <v>14850.949999999953</v>
      </c>
      <c r="F6" s="12">
        <f>(208512.2-12968.55-5584.7-13092.06)*1</f>
        <v>176866.89</v>
      </c>
    </row>
    <row r="7" spans="1:15" s="13" customFormat="1" ht="59.25" customHeight="1" x14ac:dyDescent="0.25">
      <c r="A7" s="11" t="s">
        <v>3</v>
      </c>
      <c r="B7" s="12">
        <f>646094.13-261993</f>
        <v>384101.13</v>
      </c>
      <c r="C7" s="12">
        <f>B7*1.047</f>
        <v>402153.88311</v>
      </c>
      <c r="D7" s="12">
        <v>435738.19</v>
      </c>
      <c r="E7" s="12">
        <f>D7-B7</f>
        <v>51637.06</v>
      </c>
      <c r="F7" s="12">
        <f>(724692.86-381942.32)*1</f>
        <v>342750.54</v>
      </c>
    </row>
    <row r="8" spans="1:15" s="16" customFormat="1" ht="59.25" customHeight="1" x14ac:dyDescent="0.25">
      <c r="A8" s="14"/>
      <c r="B8" s="15"/>
      <c r="C8" s="15"/>
      <c r="D8" s="15"/>
      <c r="E8" s="15"/>
      <c r="F8" s="15"/>
    </row>
    <row r="9" spans="1:15" s="10" customFormat="1" ht="59.25" customHeight="1" x14ac:dyDescent="0.25">
      <c r="A9" s="17" t="s">
        <v>4</v>
      </c>
      <c r="B9" s="18">
        <f>B10+B11</f>
        <v>1103700.7600000002</v>
      </c>
      <c r="C9" s="18">
        <f>C10+C11</f>
        <v>1155574.6957200002</v>
      </c>
      <c r="D9" s="18">
        <f t="shared" ref="D9:F9" si="1">D10+D11</f>
        <v>1168230.3500000001</v>
      </c>
      <c r="E9" s="18">
        <f t="shared" si="1"/>
        <v>64529.589999999851</v>
      </c>
      <c r="F9" s="18">
        <f t="shared" si="1"/>
        <v>755416.12</v>
      </c>
    </row>
    <row r="10" spans="1:15" s="13" customFormat="1" ht="59.25" customHeight="1" x14ac:dyDescent="0.25">
      <c r="A10" s="11" t="s">
        <v>2</v>
      </c>
      <c r="B10" s="12">
        <f>789443.79+4328.29</f>
        <v>793772.08000000007</v>
      </c>
      <c r="C10" s="12">
        <f t="shared" ref="C10:C11" si="2">B10*1.047</f>
        <v>831079.36776000005</v>
      </c>
      <c r="D10" s="12">
        <v>836933.21</v>
      </c>
      <c r="E10" s="12">
        <f t="shared" ref="E10:E11" si="3">D10-B10</f>
        <v>43161.129999999888</v>
      </c>
      <c r="F10" s="12">
        <f>(547522.98+13200.2)*1</f>
        <v>560723.17999999993</v>
      </c>
    </row>
    <row r="11" spans="1:15" s="13" customFormat="1" ht="59.25" customHeight="1" x14ac:dyDescent="0.25">
      <c r="A11" s="11" t="s">
        <v>3</v>
      </c>
      <c r="B11" s="12">
        <f>464831.45-342.97-26593.98-127965.82</f>
        <v>309928.68000000005</v>
      </c>
      <c r="C11" s="12">
        <f t="shared" si="2"/>
        <v>324495.32796000002</v>
      </c>
      <c r="D11" s="12">
        <v>331297.14</v>
      </c>
      <c r="E11" s="12">
        <f t="shared" si="3"/>
        <v>21368.459999999963</v>
      </c>
      <c r="F11" s="12">
        <f>(337841.03-17785.44-125362.65)*1</f>
        <v>194692.94000000003</v>
      </c>
    </row>
    <row r="12" spans="1:15" s="16" customFormat="1" ht="59.25" customHeight="1" x14ac:dyDescent="0.25">
      <c r="A12" s="14"/>
      <c r="B12" s="15"/>
      <c r="C12" s="15"/>
      <c r="D12" s="15"/>
      <c r="E12" s="15"/>
      <c r="F12" s="15"/>
    </row>
    <row r="13" spans="1:15" s="10" customFormat="1" ht="59.25" customHeight="1" x14ac:dyDescent="0.25">
      <c r="A13" s="17" t="s">
        <v>5</v>
      </c>
      <c r="B13" s="18">
        <f>B14+B15</f>
        <v>1619287.7799999998</v>
      </c>
      <c r="C13" s="18">
        <f>C14+C15</f>
        <v>1695394.3056599998</v>
      </c>
      <c r="D13" s="18">
        <f t="shared" ref="D13:F13" si="4">D14+D15</f>
        <v>1718310.1</v>
      </c>
      <c r="E13" s="18">
        <f t="shared" si="4"/>
        <v>99022.320000000065</v>
      </c>
      <c r="F13" s="18">
        <f t="shared" si="4"/>
        <v>855524.1</v>
      </c>
    </row>
    <row r="14" spans="1:15" s="13" customFormat="1" ht="59.25" customHeight="1" x14ac:dyDescent="0.25">
      <c r="A14" s="11" t="s">
        <v>2</v>
      </c>
      <c r="B14" s="12">
        <f>813422.09</f>
        <v>813422.09</v>
      </c>
      <c r="C14" s="12">
        <f t="shared" ref="C14:C15" si="5">B14*1.047</f>
        <v>851652.92822999996</v>
      </c>
      <c r="D14" s="12">
        <v>846590.71</v>
      </c>
      <c r="E14" s="12">
        <f t="shared" ref="E14:E15" si="6">D14-B14</f>
        <v>33168.619999999995</v>
      </c>
      <c r="F14" s="12">
        <f>333373.22*1</f>
        <v>333373.21999999997</v>
      </c>
    </row>
    <row r="15" spans="1:15" s="13" customFormat="1" ht="59.25" customHeight="1" x14ac:dyDescent="0.25">
      <c r="A15" s="11" t="s">
        <v>3</v>
      </c>
      <c r="B15" s="12">
        <f>967592.07-146447.38-15279</f>
        <v>805865.69</v>
      </c>
      <c r="C15" s="12">
        <f t="shared" si="5"/>
        <v>843741.37742999988</v>
      </c>
      <c r="D15" s="12">
        <v>871719.39</v>
      </c>
      <c r="E15" s="12">
        <f t="shared" si="6"/>
        <v>65853.70000000007</v>
      </c>
      <c r="F15" s="12">
        <f>(756375.24-221873.36-12351)*1</f>
        <v>522150.88</v>
      </c>
    </row>
    <row r="16" spans="1:15" s="16" customFormat="1" ht="59.25" customHeight="1" x14ac:dyDescent="0.25">
      <c r="A16" s="14"/>
      <c r="B16" s="15"/>
      <c r="C16" s="15"/>
      <c r="D16" s="15"/>
      <c r="E16" s="15"/>
      <c r="F16" s="15"/>
    </row>
    <row r="17" spans="1:15" s="10" customFormat="1" ht="59.25" customHeight="1" x14ac:dyDescent="0.25">
      <c r="A17" s="17" t="s">
        <v>8</v>
      </c>
      <c r="B17" s="18">
        <f>1410219.6</f>
        <v>1410219.6</v>
      </c>
      <c r="C17" s="18">
        <f>B17*1.047</f>
        <v>1476499.9212</v>
      </c>
      <c r="D17" s="18">
        <v>1481745.4</v>
      </c>
      <c r="E17" s="12">
        <f>D17-B17</f>
        <v>71525.799999999814</v>
      </c>
      <c r="F17" s="18">
        <f>1021416.4*1</f>
        <v>1021416.4</v>
      </c>
    </row>
    <row r="18" spans="1:15" s="16" customFormat="1" ht="59.25" customHeight="1" thickBot="1" x14ac:dyDescent="0.3">
      <c r="A18" s="19"/>
      <c r="B18" s="20"/>
      <c r="C18" s="20"/>
      <c r="D18" s="20"/>
      <c r="E18" s="20"/>
      <c r="F18" s="20"/>
    </row>
    <row r="19" spans="1:15" s="10" customFormat="1" ht="16.5" thickBot="1" x14ac:dyDescent="0.3">
      <c r="A19" s="21" t="s">
        <v>6</v>
      </c>
      <c r="B19" s="22">
        <f>B5+B9+B13+B17</f>
        <v>4776105.0600000005</v>
      </c>
      <c r="C19" s="22">
        <f>C5+C9+C13+C17</f>
        <v>5000581.9978200002</v>
      </c>
      <c r="D19" s="22">
        <f t="shared" ref="D19:F19" si="7">D5+D9+D13+D17</f>
        <v>5077670.7799999993</v>
      </c>
      <c r="E19" s="22">
        <f t="shared" si="7"/>
        <v>301565.71999999968</v>
      </c>
      <c r="F19" s="23">
        <f t="shared" si="7"/>
        <v>3151974.05</v>
      </c>
    </row>
    <row r="20" spans="1:15" s="1" customFormat="1" ht="12.75" x14ac:dyDescent="0.2"/>
    <row r="21" spans="1:15" s="1" customFormat="1" ht="86.25" customHeight="1" x14ac:dyDescent="0.25">
      <c r="A21" s="24" t="s">
        <v>22</v>
      </c>
      <c r="B21" s="24"/>
      <c r="C21" s="24"/>
      <c r="D21" s="24"/>
      <c r="E21" s="24"/>
      <c r="F21" s="24"/>
      <c r="G21" s="4"/>
      <c r="H21" s="4"/>
      <c r="I21" s="4"/>
      <c r="J21" s="4"/>
      <c r="K21" s="4"/>
      <c r="L21" s="4"/>
      <c r="M21" s="4"/>
      <c r="N21" s="4"/>
      <c r="O21" s="4"/>
    </row>
    <row r="22" spans="1:15" ht="15.75" x14ac:dyDescent="0.25">
      <c r="A22" s="24"/>
      <c r="B22" s="24"/>
      <c r="C22" s="24"/>
      <c r="D22" s="24"/>
      <c r="E22" s="24"/>
      <c r="F22" s="24"/>
    </row>
    <row r="23" spans="1:15" ht="15.75" x14ac:dyDescent="0.25">
      <c r="A23" s="24" t="s">
        <v>24</v>
      </c>
      <c r="B23" s="24"/>
      <c r="C23" s="24"/>
      <c r="D23" s="24"/>
      <c r="E23" s="24"/>
      <c r="F23" s="24"/>
    </row>
    <row r="24" spans="1:15" ht="15.75" x14ac:dyDescent="0.25">
      <c r="A24" s="24" t="s">
        <v>23</v>
      </c>
      <c r="B24" s="24"/>
      <c r="C24" s="24"/>
      <c r="D24" s="24"/>
      <c r="E24" s="24"/>
      <c r="F24" s="24" t="s">
        <v>17</v>
      </c>
    </row>
  </sheetData>
  <mergeCells count="7">
    <mergeCell ref="A24:F24"/>
    <mergeCell ref="A1:F1"/>
    <mergeCell ref="A2:F2"/>
    <mergeCell ref="A3:F3"/>
    <mergeCell ref="A21:F21"/>
    <mergeCell ref="A22:F22"/>
    <mergeCell ref="A23:F23"/>
  </mergeCells>
  <pageMargins left="0.9055118110236221" right="0.31496062992125984" top="0.15748031496062992" bottom="0.15748031496062992" header="0.31496062992125984" footer="0.31496062992125984"/>
  <pageSetup paperSize="9" scale="5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вариант без инд.</vt:lpstr>
      <vt:lpstr>2 вар. ФОТ 01.06.22 +4,7%</vt:lpstr>
      <vt:lpstr>3 вар. ФОТ 01.06.22 +4,7% и1окл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2022-11-03T06:53:00Z</dcterms:modified>
</cp:coreProperties>
</file>