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21720" windowHeight="9525" tabRatio="920" activeTab="4"/>
  </bookViews>
  <sheets>
    <sheet name="приложение 2" sheetId="2" r:id="rId1"/>
    <sheet name="приложение 3" sheetId="3" r:id="rId2"/>
    <sheet name="приложение 4" sheetId="5" r:id="rId3"/>
    <sheet name="приложение 5" sheetId="6" r:id="rId4"/>
    <sheet name="приложение 6" sheetId="7" r:id="rId5"/>
    <sheet name="ДИМИТРОВград" sheetId="4" state="hidden" r:id="rId6"/>
    <sheet name="ДИМИТРОВград (2)" sheetId="19" state="hidden" r:id="rId7"/>
    <sheet name="КОНТРАКТЫ" sheetId="1" state="hidden" r:id="rId8"/>
    <sheet name="2023" sheetId="9" state="hidden" r:id="rId9"/>
    <sheet name="2022" sheetId="10" state="hidden" r:id="rId10"/>
    <sheet name="2021 " sheetId="8" state="hidden" r:id="rId11"/>
    <sheet name="2021 выкуп" sheetId="16" state="hidden" r:id="rId12"/>
    <sheet name="2021 расчетная" sheetId="15" state="hidden" r:id="rId13"/>
    <sheet name="оценка" sheetId="11" state="hidden" r:id="rId14"/>
    <sheet name="выкуп по бюджетам" sheetId="12" state="hidden" r:id="rId15"/>
    <sheet name="Планирование расходов" sheetId="13" state="hidden" r:id="rId16"/>
    <sheet name="26-27" sheetId="14" state="hidden" r:id="rId17"/>
    <sheet name="Лист1" sheetId="17" state="hidden" r:id="rId18"/>
    <sheet name="Лист2" sheetId="18" r:id="rId19"/>
  </sheets>
  <definedNames>
    <definedName name="_xlnm.Print_Titles" localSheetId="10">'2021 '!$5:$6</definedName>
    <definedName name="_xlnm.Print_Titles" localSheetId="11">'2021 выкуп'!$5:$6</definedName>
    <definedName name="_xlnm.Print_Titles" localSheetId="12">'2021 расчетная'!$5:$6</definedName>
    <definedName name="_xlnm.Print_Titles" localSheetId="9">'2022'!$4:$5</definedName>
    <definedName name="_xlnm.Print_Titles" localSheetId="5">ДИМИТРОВград!$8:$13</definedName>
    <definedName name="_xlnm.Print_Titles" localSheetId="6">'ДИМИТРОВград (2)'!$8:$13</definedName>
    <definedName name="_xlnm.Print_Titles" localSheetId="2">'приложение 4'!$14:$18</definedName>
    <definedName name="_xlnm.Print_Titles" localSheetId="3">'приложение 5'!$14:$18</definedName>
    <definedName name="_xlnm.Print_Titles" localSheetId="4">'приложение 6'!$12:$15</definedName>
    <definedName name="_xlnm.Print_Area" localSheetId="5">ДИМИТРОВград!$A$2:$R$146</definedName>
    <definedName name="_xlnm.Print_Area" localSheetId="6">'ДИМИТРОВград (2)'!$A$2:$R$146</definedName>
  </definedNames>
  <calcPr calcId="125725"/>
</workbook>
</file>

<file path=xl/calcChain.xml><?xml version="1.0" encoding="utf-8"?>
<calcChain xmlns="http://schemas.openxmlformats.org/spreadsheetml/2006/main">
  <c r="O25" i="2"/>
  <c r="AK30" i="7"/>
  <c r="D30"/>
  <c r="AO27"/>
  <c r="H27"/>
  <c r="AK26"/>
  <c r="AK25"/>
  <c r="D26"/>
  <c r="D25"/>
  <c r="O52" i="5"/>
  <c r="Q52"/>
  <c r="R52"/>
  <c r="O38"/>
  <c r="O39"/>
  <c r="O36" s="1"/>
  <c r="O40"/>
  <c r="O41"/>
  <c r="O42"/>
  <c r="O43"/>
  <c r="O44"/>
  <c r="O45"/>
  <c r="O46"/>
  <c r="O37"/>
  <c r="R36"/>
  <c r="U36" l="1"/>
  <c r="AP24" i="7"/>
  <c r="AP27" s="1"/>
  <c r="AQ17"/>
  <c r="AP20"/>
  <c r="AP22" s="1"/>
  <c r="AM21"/>
  <c r="AP17"/>
  <c r="AP18" s="1"/>
  <c r="AO21"/>
  <c r="O27"/>
  <c r="O24"/>
  <c r="Z21"/>
  <c r="O21"/>
  <c r="D21"/>
  <c r="AN21"/>
  <c r="R28" i="5"/>
  <c r="I22" i="7"/>
  <c r="I32" s="1"/>
  <c r="T22"/>
  <c r="G18"/>
  <c r="K18" i="3"/>
  <c r="H18" i="7"/>
  <c r="I18"/>
  <c r="AN18"/>
  <c r="AO18"/>
  <c r="AC18"/>
  <c r="Z17"/>
  <c r="Z18" s="1"/>
  <c r="AD18"/>
  <c r="R18"/>
  <c r="S18"/>
  <c r="T18"/>
  <c r="AO24"/>
  <c r="T36" i="5"/>
  <c r="K24" i="7" s="1"/>
  <c r="R147" i="4"/>
  <c r="S147"/>
  <c r="T147"/>
  <c r="U147"/>
  <c r="V147"/>
  <c r="W147"/>
  <c r="X147"/>
  <c r="Y147"/>
  <c r="Z147"/>
  <c r="AA147"/>
  <c r="AB147"/>
  <c r="AC147"/>
  <c r="AD147"/>
  <c r="AE147"/>
  <c r="AF147"/>
  <c r="AG147"/>
  <c r="AH147"/>
  <c r="AI147"/>
  <c r="M136" i="19"/>
  <c r="L136"/>
  <c r="K136"/>
  <c r="Q137" s="1"/>
  <c r="J136"/>
  <c r="I136"/>
  <c r="H136"/>
  <c r="G136"/>
  <c r="M131"/>
  <c r="L131"/>
  <c r="K131"/>
  <c r="J131"/>
  <c r="I131"/>
  <c r="H131"/>
  <c r="G131"/>
  <c r="N130"/>
  <c r="N129"/>
  <c r="N128"/>
  <c r="N127"/>
  <c r="N126"/>
  <c r="N125"/>
  <c r="N124"/>
  <c r="N123"/>
  <c r="Q122"/>
  <c r="P122"/>
  <c r="O122"/>
  <c r="N122"/>
  <c r="M122"/>
  <c r="L122"/>
  <c r="K122"/>
  <c r="J122"/>
  <c r="I122"/>
  <c r="H122"/>
  <c r="G122"/>
  <c r="N120"/>
  <c r="N117" s="1"/>
  <c r="N119"/>
  <c r="N118"/>
  <c r="Q117"/>
  <c r="P117"/>
  <c r="M117"/>
  <c r="L117"/>
  <c r="K117"/>
  <c r="O117" s="1"/>
  <c r="J117"/>
  <c r="I117"/>
  <c r="H117"/>
  <c r="G117"/>
  <c r="N116"/>
  <c r="N115"/>
  <c r="N114"/>
  <c r="N113"/>
  <c r="N111" s="1"/>
  <c r="N112"/>
  <c r="Q111"/>
  <c r="P111"/>
  <c r="M111"/>
  <c r="L111"/>
  <c r="K111"/>
  <c r="O111" s="1"/>
  <c r="J111"/>
  <c r="I111"/>
  <c r="H111"/>
  <c r="G111"/>
  <c r="P110"/>
  <c r="N110"/>
  <c r="Q110"/>
  <c r="N109"/>
  <c r="P109" s="1"/>
  <c r="Q109" s="1"/>
  <c r="P108"/>
  <c r="N108"/>
  <c r="Q108" s="1"/>
  <c r="N107"/>
  <c r="P107" s="1"/>
  <c r="P106"/>
  <c r="N106"/>
  <c r="Q106" s="1"/>
  <c r="N105"/>
  <c r="P105" s="1"/>
  <c r="Q105" s="1"/>
  <c r="N104"/>
  <c r="P104" s="1"/>
  <c r="O103"/>
  <c r="M103"/>
  <c r="L103"/>
  <c r="K103"/>
  <c r="J103"/>
  <c r="I103"/>
  <c r="H103"/>
  <c r="G103"/>
  <c r="O102"/>
  <c r="N102"/>
  <c r="O101"/>
  <c r="N101"/>
  <c r="P101" s="1"/>
  <c r="M100"/>
  <c r="L100"/>
  <c r="K100"/>
  <c r="O100" s="1"/>
  <c r="J100"/>
  <c r="I100"/>
  <c r="H100"/>
  <c r="G100"/>
  <c r="P99"/>
  <c r="P98" s="1"/>
  <c r="O99"/>
  <c r="N99"/>
  <c r="Q99" s="1"/>
  <c r="Q98" s="1"/>
  <c r="N98"/>
  <c r="M98"/>
  <c r="L98"/>
  <c r="K98"/>
  <c r="O98" s="1"/>
  <c r="J98"/>
  <c r="I98"/>
  <c r="H98"/>
  <c r="G98"/>
  <c r="Q90"/>
  <c r="P90"/>
  <c r="N90"/>
  <c r="M90"/>
  <c r="L90"/>
  <c r="K90"/>
  <c r="O90" s="1"/>
  <c r="J90"/>
  <c r="I90"/>
  <c r="H90"/>
  <c r="G90"/>
  <c r="N89"/>
  <c r="N88"/>
  <c r="N87" s="1"/>
  <c r="Q87"/>
  <c r="P87"/>
  <c r="O87"/>
  <c r="M87"/>
  <c r="L87"/>
  <c r="K87"/>
  <c r="J87"/>
  <c r="I87"/>
  <c r="H87"/>
  <c r="G87"/>
  <c r="N86"/>
  <c r="N85"/>
  <c r="Q84"/>
  <c r="P84"/>
  <c r="O84"/>
  <c r="N84"/>
  <c r="M84"/>
  <c r="L84"/>
  <c r="K84"/>
  <c r="J84"/>
  <c r="I84"/>
  <c r="H84"/>
  <c r="G84"/>
  <c r="Q78"/>
  <c r="P78"/>
  <c r="O78"/>
  <c r="N78"/>
  <c r="M78"/>
  <c r="L78"/>
  <c r="K78"/>
  <c r="J78"/>
  <c r="I78"/>
  <c r="H78"/>
  <c r="G78"/>
  <c r="Q76"/>
  <c r="P76"/>
  <c r="O76"/>
  <c r="N76"/>
  <c r="M76"/>
  <c r="L76"/>
  <c r="K76"/>
  <c r="J76"/>
  <c r="I76"/>
  <c r="H76"/>
  <c r="G76"/>
  <c r="Q73"/>
  <c r="P73"/>
  <c r="O73"/>
  <c r="N73"/>
  <c r="M73"/>
  <c r="L73"/>
  <c r="K73"/>
  <c r="J73"/>
  <c r="I73"/>
  <c r="H73"/>
  <c r="G73"/>
  <c r="Q71"/>
  <c r="P71"/>
  <c r="O71"/>
  <c r="N71"/>
  <c r="M71"/>
  <c r="L71"/>
  <c r="K71"/>
  <c r="J71"/>
  <c r="I71"/>
  <c r="H71"/>
  <c r="G71"/>
  <c r="Q67"/>
  <c r="P67"/>
  <c r="P63"/>
  <c r="O67"/>
  <c r="N67"/>
  <c r="M67"/>
  <c r="M63" s="1"/>
  <c r="L67"/>
  <c r="K67"/>
  <c r="J67"/>
  <c r="I67"/>
  <c r="H67"/>
  <c r="G67"/>
  <c r="Q64"/>
  <c r="P64"/>
  <c r="O64"/>
  <c r="O63" s="1"/>
  <c r="N64"/>
  <c r="M64"/>
  <c r="L64"/>
  <c r="L63" s="1"/>
  <c r="K64"/>
  <c r="K63"/>
  <c r="J64"/>
  <c r="I64"/>
  <c r="I63" s="1"/>
  <c r="H64"/>
  <c r="H63" s="1"/>
  <c r="G64"/>
  <c r="G63" s="1"/>
  <c r="Q63"/>
  <c r="N63"/>
  <c r="N42"/>
  <c r="J63"/>
  <c r="J42"/>
  <c r="K61"/>
  <c r="Q60"/>
  <c r="P60"/>
  <c r="O60"/>
  <c r="S60" s="1"/>
  <c r="N60"/>
  <c r="M60"/>
  <c r="L60"/>
  <c r="K60"/>
  <c r="J60"/>
  <c r="I60"/>
  <c r="H60"/>
  <c r="G60"/>
  <c r="M54"/>
  <c r="L54"/>
  <c r="K54"/>
  <c r="J54"/>
  <c r="I54"/>
  <c r="H54"/>
  <c r="G54"/>
  <c r="Q50"/>
  <c r="P50"/>
  <c r="O50"/>
  <c r="N50"/>
  <c r="M50"/>
  <c r="L50"/>
  <c r="K50"/>
  <c r="J50"/>
  <c r="I50"/>
  <c r="H50"/>
  <c r="G50"/>
  <c r="M49"/>
  <c r="Q47"/>
  <c r="P47"/>
  <c r="O47"/>
  <c r="N47"/>
  <c r="M47"/>
  <c r="L47"/>
  <c r="K47"/>
  <c r="J47"/>
  <c r="I47"/>
  <c r="H47"/>
  <c r="G47"/>
  <c r="Q44"/>
  <c r="P44"/>
  <c r="O44"/>
  <c r="N44"/>
  <c r="M44"/>
  <c r="L44"/>
  <c r="K44"/>
  <c r="J44"/>
  <c r="I44"/>
  <c r="H44"/>
  <c r="G44"/>
  <c r="T43"/>
  <c r="Q42"/>
  <c r="Q40"/>
  <c r="P40"/>
  <c r="O40"/>
  <c r="N40"/>
  <c r="M40"/>
  <c r="L40"/>
  <c r="K40"/>
  <c r="J40"/>
  <c r="I40"/>
  <c r="H40"/>
  <c r="G40"/>
  <c r="M39"/>
  <c r="L39"/>
  <c r="K39"/>
  <c r="J39"/>
  <c r="I39"/>
  <c r="H39"/>
  <c r="G39"/>
  <c r="Q33"/>
  <c r="P33"/>
  <c r="O33"/>
  <c r="N33"/>
  <c r="M33"/>
  <c r="L33"/>
  <c r="K33"/>
  <c r="J33"/>
  <c r="I33"/>
  <c r="H33"/>
  <c r="G33"/>
  <c r="Q28"/>
  <c r="P28"/>
  <c r="O28"/>
  <c r="N28"/>
  <c r="M28"/>
  <c r="L28"/>
  <c r="K28"/>
  <c r="J28"/>
  <c r="I28"/>
  <c r="H28"/>
  <c r="G28"/>
  <c r="Q25"/>
  <c r="P25"/>
  <c r="P18" s="1"/>
  <c r="P17" s="1"/>
  <c r="O25"/>
  <c r="N25"/>
  <c r="M25"/>
  <c r="L25"/>
  <c r="K25"/>
  <c r="J25"/>
  <c r="I25"/>
  <c r="H25"/>
  <c r="G25"/>
  <c r="Q19"/>
  <c r="P19"/>
  <c r="O19"/>
  <c r="O18" s="1"/>
  <c r="O17" s="1"/>
  <c r="N19"/>
  <c r="N18" s="1"/>
  <c r="N17" s="1"/>
  <c r="M19"/>
  <c r="L19"/>
  <c r="K19"/>
  <c r="K18" s="1"/>
  <c r="K17" s="1"/>
  <c r="J19"/>
  <c r="J18"/>
  <c r="J17" s="1"/>
  <c r="I19"/>
  <c r="I18" s="1"/>
  <c r="I17" s="1"/>
  <c r="H19"/>
  <c r="G19"/>
  <c r="G18" s="1"/>
  <c r="G17" s="1"/>
  <c r="Q18"/>
  <c r="Q17" s="1"/>
  <c r="M18"/>
  <c r="M17" s="1"/>
  <c r="L18"/>
  <c r="L17" s="1"/>
  <c r="H18"/>
  <c r="H17"/>
  <c r="Q16"/>
  <c r="N16"/>
  <c r="J16"/>
  <c r="M15"/>
  <c r="L15"/>
  <c r="K15"/>
  <c r="J15"/>
  <c r="I15"/>
  <c r="H15"/>
  <c r="G15"/>
  <c r="Q28" i="5"/>
  <c r="P28"/>
  <c r="E24" i="2"/>
  <c r="E22" s="1"/>
  <c r="R31" i="6"/>
  <c r="R32"/>
  <c r="Q31"/>
  <c r="Q32"/>
  <c r="R21"/>
  <c r="Q21"/>
  <c r="R22"/>
  <c r="R23"/>
  <c r="R24"/>
  <c r="R25"/>
  <c r="R26"/>
  <c r="Q26"/>
  <c r="P26" s="1"/>
  <c r="R27"/>
  <c r="R28"/>
  <c r="R29"/>
  <c r="Q22"/>
  <c r="Q23"/>
  <c r="Q24"/>
  <c r="Q25"/>
  <c r="Q27"/>
  <c r="Q28"/>
  <c r="Q29"/>
  <c r="P21" i="5"/>
  <c r="P22"/>
  <c r="P23"/>
  <c r="Q23"/>
  <c r="R23"/>
  <c r="Q21"/>
  <c r="Q22"/>
  <c r="R21"/>
  <c r="R22"/>
  <c r="G27" i="7"/>
  <c r="P8" i="15"/>
  <c r="P9"/>
  <c r="P10"/>
  <c r="P11"/>
  <c r="P12"/>
  <c r="P14"/>
  <c r="P15"/>
  <c r="P16"/>
  <c r="P18"/>
  <c r="P19"/>
  <c r="P20"/>
  <c r="P21"/>
  <c r="P22"/>
  <c r="P23"/>
  <c r="P24"/>
  <c r="P25"/>
  <c r="P27"/>
  <c r="P28"/>
  <c r="P29"/>
  <c r="P31"/>
  <c r="P32"/>
  <c r="P33"/>
  <c r="P34"/>
  <c r="P39"/>
  <c r="P9" i="16"/>
  <c r="P10"/>
  <c r="P11"/>
  <c r="P12"/>
  <c r="P14"/>
  <c r="P16"/>
  <c r="P17"/>
  <c r="P18"/>
  <c r="P19"/>
  <c r="P21"/>
  <c r="P22"/>
  <c r="P26"/>
  <c r="P27"/>
  <c r="P28"/>
  <c r="P29"/>
  <c r="P30"/>
  <c r="T7"/>
  <c r="P8"/>
  <c r="I64"/>
  <c r="J60"/>
  <c r="I60"/>
  <c r="H60"/>
  <c r="G60"/>
  <c r="F60"/>
  <c r="J50"/>
  <c r="I50"/>
  <c r="H50"/>
  <c r="G50"/>
  <c r="F50"/>
  <c r="L28"/>
  <c r="K28"/>
  <c r="L27"/>
  <c r="J27"/>
  <c r="A27"/>
  <c r="A28" s="1"/>
  <c r="A29" s="1"/>
  <c r="A30" s="1"/>
  <c r="A31" s="1"/>
  <c r="L26"/>
  <c r="K26"/>
  <c r="J26"/>
  <c r="J25"/>
  <c r="I25"/>
  <c r="H25"/>
  <c r="G25"/>
  <c r="P25"/>
  <c r="F25"/>
  <c r="D25"/>
  <c r="G24"/>
  <c r="P24" s="1"/>
  <c r="I23"/>
  <c r="H23"/>
  <c r="F23"/>
  <c r="D23"/>
  <c r="D31" s="1"/>
  <c r="L22"/>
  <c r="J22"/>
  <c r="L21"/>
  <c r="J21"/>
  <c r="K20"/>
  <c r="I20"/>
  <c r="H20"/>
  <c r="H31" s="1"/>
  <c r="G20"/>
  <c r="P20"/>
  <c r="F20"/>
  <c r="D20"/>
  <c r="L19"/>
  <c r="J19"/>
  <c r="L18"/>
  <c r="J18"/>
  <c r="L17"/>
  <c r="L16"/>
  <c r="K15"/>
  <c r="I15"/>
  <c r="H15"/>
  <c r="G15"/>
  <c r="P15"/>
  <c r="F15"/>
  <c r="D15"/>
  <c r="J14"/>
  <c r="J13"/>
  <c r="I14"/>
  <c r="I13" s="1"/>
  <c r="K13"/>
  <c r="H13"/>
  <c r="G13"/>
  <c r="P13" s="1"/>
  <c r="P31" s="1"/>
  <c r="F13"/>
  <c r="D13"/>
  <c r="L12"/>
  <c r="J12"/>
  <c r="I12"/>
  <c r="I7" s="1"/>
  <c r="L11"/>
  <c r="L10"/>
  <c r="L9"/>
  <c r="J9"/>
  <c r="L8"/>
  <c r="K7"/>
  <c r="H7"/>
  <c r="G7"/>
  <c r="P7" s="1"/>
  <c r="F7"/>
  <c r="D7"/>
  <c r="I73" i="15"/>
  <c r="J69"/>
  <c r="I69"/>
  <c r="H69"/>
  <c r="G69"/>
  <c r="F69"/>
  <c r="J59"/>
  <c r="I59"/>
  <c r="H59"/>
  <c r="G59"/>
  <c r="F59"/>
  <c r="A40"/>
  <c r="K39"/>
  <c r="I38"/>
  <c r="H38"/>
  <c r="G38"/>
  <c r="K38" s="1"/>
  <c r="K40" s="1"/>
  <c r="F38"/>
  <c r="D38"/>
  <c r="G37"/>
  <c r="P37" s="1"/>
  <c r="J35"/>
  <c r="G36"/>
  <c r="P36" s="1"/>
  <c r="I35"/>
  <c r="H35"/>
  <c r="F35"/>
  <c r="D35"/>
  <c r="K30"/>
  <c r="I30"/>
  <c r="H30"/>
  <c r="G30"/>
  <c r="P30" s="1"/>
  <c r="F30"/>
  <c r="D30"/>
  <c r="L29"/>
  <c r="L27"/>
  <c r="K26"/>
  <c r="I26"/>
  <c r="H26"/>
  <c r="G26"/>
  <c r="P26"/>
  <c r="F26"/>
  <c r="D26"/>
  <c r="K17"/>
  <c r="J17"/>
  <c r="I17"/>
  <c r="H17"/>
  <c r="G17"/>
  <c r="P17"/>
  <c r="F17"/>
  <c r="D17"/>
  <c r="J13"/>
  <c r="I13"/>
  <c r="K13"/>
  <c r="H13"/>
  <c r="G13"/>
  <c r="P13"/>
  <c r="F13"/>
  <c r="D13"/>
  <c r="J7"/>
  <c r="I7"/>
  <c r="L12"/>
  <c r="L11"/>
  <c r="L8"/>
  <c r="K7"/>
  <c r="H7"/>
  <c r="G7"/>
  <c r="P7" s="1"/>
  <c r="F7"/>
  <c r="D7"/>
  <c r="C1" i="14"/>
  <c r="D1"/>
  <c r="C12"/>
  <c r="C16"/>
  <c r="D12"/>
  <c r="D16" s="1"/>
  <c r="B10"/>
  <c r="B11"/>
  <c r="B13"/>
  <c r="B12" s="1"/>
  <c r="B16" s="1"/>
  <c r="B14"/>
  <c r="B2"/>
  <c r="B3"/>
  <c r="B4"/>
  <c r="B5"/>
  <c r="B6"/>
  <c r="B7"/>
  <c r="B8"/>
  <c r="B9"/>
  <c r="L136" i="4"/>
  <c r="M136"/>
  <c r="K136"/>
  <c r="P137" s="1"/>
  <c r="H136"/>
  <c r="I136"/>
  <c r="J136"/>
  <c r="G136"/>
  <c r="O20" i="3"/>
  <c r="M36" i="5"/>
  <c r="N36"/>
  <c r="L36"/>
  <c r="K36"/>
  <c r="J36"/>
  <c r="I36"/>
  <c r="H36"/>
  <c r="G36"/>
  <c r="G32" i="1"/>
  <c r="I13" i="13"/>
  <c r="J13" s="1"/>
  <c r="F13"/>
  <c r="G13"/>
  <c r="C13"/>
  <c r="D13" s="1"/>
  <c r="I12"/>
  <c r="J12"/>
  <c r="F12"/>
  <c r="G12" s="1"/>
  <c r="C12"/>
  <c r="D12"/>
  <c r="I11"/>
  <c r="J11" s="1"/>
  <c r="F11"/>
  <c r="G11" s="1"/>
  <c r="G10" s="1"/>
  <c r="C11"/>
  <c r="D11" s="1"/>
  <c r="D10" s="1"/>
  <c r="H10"/>
  <c r="E10"/>
  <c r="C10"/>
  <c r="B10"/>
  <c r="K37" i="15"/>
  <c r="G73"/>
  <c r="J30"/>
  <c r="J40"/>
  <c r="J26"/>
  <c r="D40"/>
  <c r="H40"/>
  <c r="F40"/>
  <c r="J20" i="16"/>
  <c r="J24"/>
  <c r="J23" s="1"/>
  <c r="J31" s="1"/>
  <c r="J15"/>
  <c r="G23"/>
  <c r="G31" s="1"/>
  <c r="J7"/>
  <c r="G64"/>
  <c r="F31"/>
  <c r="K25"/>
  <c r="I40" i="15"/>
  <c r="K36"/>
  <c r="G35"/>
  <c r="P35"/>
  <c r="B1" i="14"/>
  <c r="F10" i="13"/>
  <c r="I10"/>
  <c r="B5" i="12"/>
  <c r="E2"/>
  <c r="E3" s="1"/>
  <c r="E4" s="1"/>
  <c r="D2"/>
  <c r="D7" s="1"/>
  <c r="C2"/>
  <c r="C7" s="1"/>
  <c r="C3"/>
  <c r="F7" i="11"/>
  <c r="H7" s="1"/>
  <c r="F8"/>
  <c r="H8" s="1"/>
  <c r="D15"/>
  <c r="U29" i="5"/>
  <c r="D16" i="11"/>
  <c r="U30" i="5" s="1"/>
  <c r="D17" i="11"/>
  <c r="U31" i="5"/>
  <c r="D18" i="11"/>
  <c r="U32" i="5" s="1"/>
  <c r="D19" i="11"/>
  <c r="U33" i="5"/>
  <c r="D20" i="11"/>
  <c r="U34" i="5" s="1"/>
  <c r="H15" i="11"/>
  <c r="H16"/>
  <c r="H17"/>
  <c r="H18"/>
  <c r="H19"/>
  <c r="H20"/>
  <c r="D22"/>
  <c r="D23"/>
  <c r="D24"/>
  <c r="D14"/>
  <c r="U28" i="5" s="1"/>
  <c r="C21" i="11"/>
  <c r="D21"/>
  <c r="D25" s="1"/>
  <c r="G13"/>
  <c r="H13" s="1"/>
  <c r="C13"/>
  <c r="D13" s="1"/>
  <c r="U24" i="5"/>
  <c r="U20" s="1"/>
  <c r="F6" i="11"/>
  <c r="H6" s="1"/>
  <c r="H9" s="1"/>
  <c r="S36" i="5"/>
  <c r="N27"/>
  <c r="M27"/>
  <c r="L27"/>
  <c r="H27"/>
  <c r="K27"/>
  <c r="J27"/>
  <c r="I27"/>
  <c r="G27"/>
  <c r="T27"/>
  <c r="O23" i="2"/>
  <c r="K23" i="16"/>
  <c r="K31" s="1"/>
  <c r="P23"/>
  <c r="K35" i="15"/>
  <c r="G40"/>
  <c r="F90" i="10"/>
  <c r="D90"/>
  <c r="H73"/>
  <c r="G73"/>
  <c r="F73"/>
  <c r="M73" s="1"/>
  <c r="E73"/>
  <c r="D73"/>
  <c r="A71"/>
  <c r="H68"/>
  <c r="G68"/>
  <c r="F68"/>
  <c r="M68"/>
  <c r="E68"/>
  <c r="D68"/>
  <c r="A53"/>
  <c r="A54"/>
  <c r="A55" s="1"/>
  <c r="A56" s="1"/>
  <c r="A57" s="1"/>
  <c r="A58" s="1"/>
  <c r="A59" s="1"/>
  <c r="A60" s="1"/>
  <c r="A61" s="1"/>
  <c r="A62" s="1"/>
  <c r="A63" s="1"/>
  <c r="A64" s="1"/>
  <c r="A65" s="1"/>
  <c r="A66" s="1"/>
  <c r="A67" s="1"/>
  <c r="H51"/>
  <c r="G51"/>
  <c r="F51"/>
  <c r="M51" s="1"/>
  <c r="E51"/>
  <c r="D51"/>
  <c r="A43"/>
  <c r="A44" s="1"/>
  <c r="A45" s="1"/>
  <c r="A46" s="1"/>
  <c r="A47" s="1"/>
  <c r="A48" s="1"/>
  <c r="A49" s="1"/>
  <c r="A50" s="1"/>
  <c r="H38"/>
  <c r="G38"/>
  <c r="F38"/>
  <c r="M38" s="1"/>
  <c r="E38"/>
  <c r="D38"/>
  <c r="H32"/>
  <c r="G32"/>
  <c r="F32"/>
  <c r="M32" s="1"/>
  <c r="E32"/>
  <c r="D32"/>
  <c r="A18"/>
  <c r="A19" s="1"/>
  <c r="A20" s="1"/>
  <c r="A21" s="1"/>
  <c r="A22" s="1"/>
  <c r="A23" s="1"/>
  <c r="A24" s="1"/>
  <c r="A25" s="1"/>
  <c r="A26" s="1"/>
  <c r="A27" s="1"/>
  <c r="A28" s="1"/>
  <c r="A29" s="1"/>
  <c r="A30" s="1"/>
  <c r="A31" s="1"/>
  <c r="A77" s="1"/>
  <c r="H16"/>
  <c r="G16"/>
  <c r="F16"/>
  <c r="M16" s="1"/>
  <c r="E16"/>
  <c r="D16"/>
  <c r="H6"/>
  <c r="H77" s="1"/>
  <c r="G6"/>
  <c r="G77" s="1"/>
  <c r="F6"/>
  <c r="M6" s="1"/>
  <c r="N78" s="1"/>
  <c r="E6"/>
  <c r="E77" s="1"/>
  <c r="D6"/>
  <c r="D77" s="1"/>
  <c r="F43" i="9"/>
  <c r="D43"/>
  <c r="A20"/>
  <c r="A21" s="1"/>
  <c r="A22" s="1"/>
  <c r="A23" s="1"/>
  <c r="A24" s="1"/>
  <c r="A25" s="1"/>
  <c r="A26" s="1"/>
  <c r="A27" s="1"/>
  <c r="A28" s="1"/>
  <c r="A29" s="1"/>
  <c r="A30" s="1"/>
  <c r="H18"/>
  <c r="G18"/>
  <c r="F18"/>
  <c r="M18" s="1"/>
  <c r="E18"/>
  <c r="E31" s="1"/>
  <c r="D18"/>
  <c r="A13"/>
  <c r="A14"/>
  <c r="A15" s="1"/>
  <c r="A16" s="1"/>
  <c r="A17" s="1"/>
  <c r="H11"/>
  <c r="H31" s="1"/>
  <c r="G11"/>
  <c r="F11"/>
  <c r="M11" s="1"/>
  <c r="E11"/>
  <c r="D11"/>
  <c r="D31" s="1"/>
  <c r="H6"/>
  <c r="G6"/>
  <c r="G31" s="1"/>
  <c r="F6"/>
  <c r="M6" s="1"/>
  <c r="E6"/>
  <c r="D6"/>
  <c r="F77" i="10"/>
  <c r="M77"/>
  <c r="K22" i="3"/>
  <c r="K23"/>
  <c r="T18"/>
  <c r="T22"/>
  <c r="T23"/>
  <c r="J32" i="1"/>
  <c r="H22"/>
  <c r="H23"/>
  <c r="H24"/>
  <c r="H25"/>
  <c r="H26"/>
  <c r="H27"/>
  <c r="H28"/>
  <c r="H29"/>
  <c r="H30"/>
  <c r="H31"/>
  <c r="H21"/>
  <c r="H32"/>
  <c r="H33" s="1"/>
  <c r="D32"/>
  <c r="E32"/>
  <c r="F32"/>
  <c r="C32"/>
  <c r="B32" s="1"/>
  <c r="C1"/>
  <c r="G20"/>
  <c r="I19"/>
  <c r="H15"/>
  <c r="H16"/>
  <c r="H17"/>
  <c r="H18"/>
  <c r="H14"/>
  <c r="I13"/>
  <c r="I4"/>
  <c r="I5"/>
  <c r="I6"/>
  <c r="I7"/>
  <c r="I8"/>
  <c r="I9"/>
  <c r="I10"/>
  <c r="I11"/>
  <c r="A14"/>
  <c r="A15" s="1"/>
  <c r="A16" s="1"/>
  <c r="A17" s="1"/>
  <c r="A18" s="1"/>
  <c r="A19" s="1"/>
  <c r="A21" s="1"/>
  <c r="A22" s="1"/>
  <c r="A23" s="1"/>
  <c r="A24" s="1"/>
  <c r="A25" s="1"/>
  <c r="A26" s="1"/>
  <c r="A27" s="1"/>
  <c r="A28" s="1"/>
  <c r="A29" s="1"/>
  <c r="A30" s="1"/>
  <c r="A31" s="1"/>
  <c r="G12"/>
  <c r="G33"/>
  <c r="H12"/>
  <c r="I94" i="8"/>
  <c r="J90"/>
  <c r="I90"/>
  <c r="H90"/>
  <c r="G90"/>
  <c r="F90"/>
  <c r="J80"/>
  <c r="I80"/>
  <c r="H80"/>
  <c r="G80"/>
  <c r="F80"/>
  <c r="P60"/>
  <c r="P59"/>
  <c r="P58"/>
  <c r="L58"/>
  <c r="K58"/>
  <c r="P57"/>
  <c r="L57"/>
  <c r="J57"/>
  <c r="A57"/>
  <c r="A58"/>
  <c r="A59" s="1"/>
  <c r="A60" s="1"/>
  <c r="A61" s="1"/>
  <c r="P56"/>
  <c r="K56"/>
  <c r="P55"/>
  <c r="L55"/>
  <c r="K55"/>
  <c r="J55"/>
  <c r="P54"/>
  <c r="K54"/>
  <c r="P53"/>
  <c r="J53"/>
  <c r="I53"/>
  <c r="H53"/>
  <c r="G53"/>
  <c r="K53"/>
  <c r="F53"/>
  <c r="D53"/>
  <c r="G52"/>
  <c r="K52"/>
  <c r="G51"/>
  <c r="P51"/>
  <c r="G50"/>
  <c r="K50"/>
  <c r="I49"/>
  <c r="H49"/>
  <c r="F49"/>
  <c r="D49"/>
  <c r="P47"/>
  <c r="P46"/>
  <c r="L46"/>
  <c r="J46"/>
  <c r="P45"/>
  <c r="P44"/>
  <c r="L44"/>
  <c r="J44"/>
  <c r="J41"/>
  <c r="P43"/>
  <c r="P41" s="1"/>
  <c r="P42"/>
  <c r="K41"/>
  <c r="I41"/>
  <c r="H41"/>
  <c r="H61" s="1"/>
  <c r="G41"/>
  <c r="F41"/>
  <c r="D41"/>
  <c r="P40"/>
  <c r="L40"/>
  <c r="J40"/>
  <c r="P39"/>
  <c r="L39"/>
  <c r="P38"/>
  <c r="L38"/>
  <c r="J38"/>
  <c r="J33" s="1"/>
  <c r="P37"/>
  <c r="L37"/>
  <c r="P36"/>
  <c r="P35"/>
  <c r="L35"/>
  <c r="P34"/>
  <c r="P33" s="1"/>
  <c r="L34"/>
  <c r="K33"/>
  <c r="I33"/>
  <c r="H33"/>
  <c r="G33"/>
  <c r="G48" s="1"/>
  <c r="P48" s="1"/>
  <c r="F33"/>
  <c r="F61" s="1"/>
  <c r="D33"/>
  <c r="D48" s="1"/>
  <c r="P32"/>
  <c r="P31"/>
  <c r="P30"/>
  <c r="K30"/>
  <c r="P29"/>
  <c r="P28"/>
  <c r="P27"/>
  <c r="P26"/>
  <c r="P23" s="1"/>
  <c r="P25"/>
  <c r="P24"/>
  <c r="K23"/>
  <c r="K48" s="1"/>
  <c r="J23"/>
  <c r="I23"/>
  <c r="H23"/>
  <c r="G23"/>
  <c r="F23"/>
  <c r="F48" s="1"/>
  <c r="D23"/>
  <c r="P22"/>
  <c r="P21"/>
  <c r="P20"/>
  <c r="J20"/>
  <c r="J18" s="1"/>
  <c r="I20"/>
  <c r="I18" s="1"/>
  <c r="I48" s="1"/>
  <c r="P19"/>
  <c r="P18" s="1"/>
  <c r="K18"/>
  <c r="H18"/>
  <c r="G18"/>
  <c r="F18"/>
  <c r="D18"/>
  <c r="P17"/>
  <c r="L17"/>
  <c r="J17"/>
  <c r="J7" s="1"/>
  <c r="I17"/>
  <c r="P16"/>
  <c r="L16"/>
  <c r="P15"/>
  <c r="L15"/>
  <c r="P14"/>
  <c r="L14"/>
  <c r="P13"/>
  <c r="L13"/>
  <c r="J13"/>
  <c r="P12"/>
  <c r="L12"/>
  <c r="P11"/>
  <c r="P10"/>
  <c r="P9"/>
  <c r="L9"/>
  <c r="P8"/>
  <c r="P7" s="1"/>
  <c r="L8"/>
  <c r="T7"/>
  <c r="K7"/>
  <c r="I7"/>
  <c r="H7"/>
  <c r="G7"/>
  <c r="F7"/>
  <c r="D7"/>
  <c r="I12" i="1"/>
  <c r="H20"/>
  <c r="K32" s="1"/>
  <c r="H48" i="8"/>
  <c r="G49"/>
  <c r="G61" s="1"/>
  <c r="AE32" i="7"/>
  <c r="N32"/>
  <c r="AG32"/>
  <c r="AH32"/>
  <c r="B15"/>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J21" i="6"/>
  <c r="J22"/>
  <c r="J23"/>
  <c r="J24"/>
  <c r="J25"/>
  <c r="J26"/>
  <c r="J27"/>
  <c r="J28"/>
  <c r="J29"/>
  <c r="J31"/>
  <c r="J32"/>
  <c r="M21"/>
  <c r="M22"/>
  <c r="M23"/>
  <c r="M24"/>
  <c r="M25"/>
  <c r="M26"/>
  <c r="M27"/>
  <c r="M28"/>
  <c r="M29"/>
  <c r="M31"/>
  <c r="M32"/>
  <c r="P23"/>
  <c r="P24"/>
  <c r="P25"/>
  <c r="P27"/>
  <c r="P29"/>
  <c r="P31"/>
  <c r="P32"/>
  <c r="H30"/>
  <c r="I30"/>
  <c r="K30"/>
  <c r="L30"/>
  <c r="J30" s="1"/>
  <c r="N30"/>
  <c r="M30" s="1"/>
  <c r="O30"/>
  <c r="H20"/>
  <c r="H19"/>
  <c r="I20"/>
  <c r="K20"/>
  <c r="K19" s="1"/>
  <c r="L20"/>
  <c r="N20"/>
  <c r="M20"/>
  <c r="O20"/>
  <c r="O19"/>
  <c r="S20"/>
  <c r="L24" i="7"/>
  <c r="L27" s="1"/>
  <c r="L32" s="1"/>
  <c r="G30" i="6"/>
  <c r="G20"/>
  <c r="G19" s="1"/>
  <c r="B18"/>
  <c r="C18" s="1"/>
  <c r="D18" s="1"/>
  <c r="E18" s="1"/>
  <c r="F18" s="1"/>
  <c r="G18" s="1"/>
  <c r="H18" s="1"/>
  <c r="I18" s="1"/>
  <c r="J18" s="1"/>
  <c r="K18" s="1"/>
  <c r="L18" s="1"/>
  <c r="M18" s="1"/>
  <c r="N18" s="1"/>
  <c r="O18" s="1"/>
  <c r="P18" s="1"/>
  <c r="Q18" s="1"/>
  <c r="R18" s="1"/>
  <c r="S18" s="1"/>
  <c r="P32" i="7"/>
  <c r="AI32"/>
  <c r="W32"/>
  <c r="T32"/>
  <c r="Y32"/>
  <c r="AL32"/>
  <c r="AJ32"/>
  <c r="AF32"/>
  <c r="AA32"/>
  <c r="E32"/>
  <c r="L19" i="6"/>
  <c r="J19" s="1"/>
  <c r="N19"/>
  <c r="M19" s="1"/>
  <c r="I19"/>
  <c r="S27" i="5"/>
  <c r="H24"/>
  <c r="H20" s="1"/>
  <c r="H19" s="1"/>
  <c r="I24"/>
  <c r="I20"/>
  <c r="I19" s="1"/>
  <c r="J24"/>
  <c r="J20" s="1"/>
  <c r="J19" s="1"/>
  <c r="K24"/>
  <c r="K20"/>
  <c r="L24"/>
  <c r="L20"/>
  <c r="L19" s="1"/>
  <c r="M24"/>
  <c r="M20" s="1"/>
  <c r="M19" s="1"/>
  <c r="N24"/>
  <c r="N20"/>
  <c r="O24"/>
  <c r="P24"/>
  <c r="Q24"/>
  <c r="Q20"/>
  <c r="R24"/>
  <c r="R20"/>
  <c r="S24"/>
  <c r="S20"/>
  <c r="T24"/>
  <c r="F24" i="7"/>
  <c r="G24" i="5"/>
  <c r="G20"/>
  <c r="G19" s="1"/>
  <c r="B18"/>
  <c r="C18" s="1"/>
  <c r="D18" s="1"/>
  <c r="E18" s="1"/>
  <c r="F18" s="1"/>
  <c r="G18" s="1"/>
  <c r="H18" s="1"/>
  <c r="I18" s="1"/>
  <c r="J18" s="1"/>
  <c r="K18" s="1"/>
  <c r="L18" s="1"/>
  <c r="M18" s="1"/>
  <c r="N18" s="1"/>
  <c r="O18" s="1"/>
  <c r="P18" s="1"/>
  <c r="Q18" s="1"/>
  <c r="R18" s="1"/>
  <c r="S18" s="1"/>
  <c r="T18" s="1"/>
  <c r="U18" s="1"/>
  <c r="S21" i="3"/>
  <c r="R21"/>
  <c r="O21"/>
  <c r="N21"/>
  <c r="M21"/>
  <c r="L21"/>
  <c r="T21" s="1"/>
  <c r="S17"/>
  <c r="R17"/>
  <c r="R24"/>
  <c r="Q17"/>
  <c r="Q24" s="1"/>
  <c r="P17"/>
  <c r="P24" s="1"/>
  <c r="M17"/>
  <c r="M24" s="1"/>
  <c r="L17"/>
  <c r="L24" s="1"/>
  <c r="D21"/>
  <c r="E21"/>
  <c r="F21"/>
  <c r="I21"/>
  <c r="J21"/>
  <c r="C21"/>
  <c r="K21"/>
  <c r="D17"/>
  <c r="D24"/>
  <c r="G17"/>
  <c r="G24"/>
  <c r="H17"/>
  <c r="I17"/>
  <c r="I24" s="1"/>
  <c r="J17"/>
  <c r="J24" s="1"/>
  <c r="C17"/>
  <c r="C24" s="1"/>
  <c r="H24"/>
  <c r="Q22" i="2"/>
  <c r="P22"/>
  <c r="M22"/>
  <c r="L22"/>
  <c r="H22"/>
  <c r="G22"/>
  <c r="D22"/>
  <c r="M131" i="4"/>
  <c r="L131"/>
  <c r="K131"/>
  <c r="J131"/>
  <c r="I131"/>
  <c r="H131"/>
  <c r="G131"/>
  <c r="N130"/>
  <c r="N129"/>
  <c r="N128"/>
  <c r="N127"/>
  <c r="N126"/>
  <c r="N125"/>
  <c r="N124"/>
  <c r="N123"/>
  <c r="Q122"/>
  <c r="P122"/>
  <c r="O122"/>
  <c r="M122"/>
  <c r="L122"/>
  <c r="K122"/>
  <c r="J122"/>
  <c r="I122"/>
  <c r="H122"/>
  <c r="G122"/>
  <c r="N120"/>
  <c r="N119"/>
  <c r="N118"/>
  <c r="Q117"/>
  <c r="P117"/>
  <c r="M117"/>
  <c r="L117"/>
  <c r="K117"/>
  <c r="O117"/>
  <c r="J117"/>
  <c r="I117"/>
  <c r="H117"/>
  <c r="G117"/>
  <c r="N116"/>
  <c r="N115"/>
  <c r="N114"/>
  <c r="N113"/>
  <c r="N112"/>
  <c r="Q111"/>
  <c r="P111"/>
  <c r="M111"/>
  <c r="L111"/>
  <c r="K111"/>
  <c r="O111" s="1"/>
  <c r="J111"/>
  <c r="I111"/>
  <c r="H111"/>
  <c r="G111"/>
  <c r="N110"/>
  <c r="P110" s="1"/>
  <c r="Q110" s="1"/>
  <c r="N109"/>
  <c r="P109"/>
  <c r="Q109" s="1"/>
  <c r="N108"/>
  <c r="N107"/>
  <c r="Q107" s="1"/>
  <c r="P107"/>
  <c r="N106"/>
  <c r="P106" s="1"/>
  <c r="Q106" s="1"/>
  <c r="N105"/>
  <c r="P105"/>
  <c r="N104"/>
  <c r="P104" s="1"/>
  <c r="AJ104"/>
  <c r="O103"/>
  <c r="M103"/>
  <c r="L103"/>
  <c r="K103"/>
  <c r="C24" i="2"/>
  <c r="J103" i="4"/>
  <c r="I103"/>
  <c r="H103"/>
  <c r="G103"/>
  <c r="N19" i="3" s="1"/>
  <c r="O102" i="4"/>
  <c r="N102"/>
  <c r="O101"/>
  <c r="N101"/>
  <c r="P101" s="1"/>
  <c r="M100"/>
  <c r="L100"/>
  <c r="K100"/>
  <c r="O100"/>
  <c r="J100"/>
  <c r="I100"/>
  <c r="H100"/>
  <c r="G100"/>
  <c r="O99"/>
  <c r="P99"/>
  <c r="N99"/>
  <c r="M98"/>
  <c r="L98"/>
  <c r="K98"/>
  <c r="O98" s="1"/>
  <c r="J98"/>
  <c r="I98"/>
  <c r="H98"/>
  <c r="G98"/>
  <c r="Q90"/>
  <c r="P90"/>
  <c r="N90"/>
  <c r="M90"/>
  <c r="L90"/>
  <c r="K90"/>
  <c r="O90"/>
  <c r="J90"/>
  <c r="I90"/>
  <c r="H90"/>
  <c r="G90"/>
  <c r="N89"/>
  <c r="N88"/>
  <c r="N87" s="1"/>
  <c r="Q87"/>
  <c r="P87"/>
  <c r="O87"/>
  <c r="M87"/>
  <c r="L87"/>
  <c r="K87"/>
  <c r="J87"/>
  <c r="I87"/>
  <c r="H87"/>
  <c r="G87"/>
  <c r="N86"/>
  <c r="N85"/>
  <c r="Q84"/>
  <c r="P84"/>
  <c r="O84"/>
  <c r="M84"/>
  <c r="L84"/>
  <c r="K84"/>
  <c r="J84"/>
  <c r="I84"/>
  <c r="H84"/>
  <c r="G84"/>
  <c r="Q78"/>
  <c r="P78"/>
  <c r="O78"/>
  <c r="N78"/>
  <c r="M78"/>
  <c r="L78"/>
  <c r="K78"/>
  <c r="J78"/>
  <c r="I78"/>
  <c r="H78"/>
  <c r="G78"/>
  <c r="Q76"/>
  <c r="P76"/>
  <c r="O76"/>
  <c r="N76"/>
  <c r="M76"/>
  <c r="L76"/>
  <c r="K76"/>
  <c r="J76"/>
  <c r="I76"/>
  <c r="H76"/>
  <c r="G76"/>
  <c r="Q73"/>
  <c r="P73"/>
  <c r="O73"/>
  <c r="N73"/>
  <c r="M73"/>
  <c r="L73"/>
  <c r="K73"/>
  <c r="J73"/>
  <c r="I73"/>
  <c r="H73"/>
  <c r="G73"/>
  <c r="Q71"/>
  <c r="P71"/>
  <c r="O71"/>
  <c r="N71"/>
  <c r="M71"/>
  <c r="L71"/>
  <c r="K71"/>
  <c r="J71"/>
  <c r="I71"/>
  <c r="H71"/>
  <c r="G71"/>
  <c r="Q67"/>
  <c r="P67"/>
  <c r="O67"/>
  <c r="N67"/>
  <c r="M67"/>
  <c r="L67"/>
  <c r="K67"/>
  <c r="J67"/>
  <c r="I67"/>
  <c r="H67"/>
  <c r="G67"/>
  <c r="Q64"/>
  <c r="P64"/>
  <c r="O64"/>
  <c r="N64"/>
  <c r="M64"/>
  <c r="L64"/>
  <c r="K64"/>
  <c r="J64"/>
  <c r="J63" s="1"/>
  <c r="I64"/>
  <c r="I63" s="1"/>
  <c r="I42" s="1"/>
  <c r="H64"/>
  <c r="G64"/>
  <c r="K61"/>
  <c r="K60" s="1"/>
  <c r="Q60"/>
  <c r="P60"/>
  <c r="O60"/>
  <c r="S60" s="1"/>
  <c r="N60"/>
  <c r="M60"/>
  <c r="L60"/>
  <c r="J60"/>
  <c r="I60"/>
  <c r="H60"/>
  <c r="G60"/>
  <c r="M54"/>
  <c r="L54"/>
  <c r="K54"/>
  <c r="J54"/>
  <c r="I54"/>
  <c r="H54"/>
  <c r="G54"/>
  <c r="Q50"/>
  <c r="P50"/>
  <c r="O50"/>
  <c r="N50"/>
  <c r="M50"/>
  <c r="L50"/>
  <c r="K50"/>
  <c r="J50"/>
  <c r="I50"/>
  <c r="H50"/>
  <c r="G50"/>
  <c r="M49"/>
  <c r="M47"/>
  <c r="Q47"/>
  <c r="P47"/>
  <c r="O47"/>
  <c r="N47"/>
  <c r="L47"/>
  <c r="K47"/>
  <c r="J47"/>
  <c r="I47"/>
  <c r="H47"/>
  <c r="G47"/>
  <c r="Q44"/>
  <c r="P44"/>
  <c r="O44"/>
  <c r="N44"/>
  <c r="M44"/>
  <c r="L44"/>
  <c r="K44"/>
  <c r="J44"/>
  <c r="I44"/>
  <c r="H44"/>
  <c r="G44"/>
  <c r="T43"/>
  <c r="Q40"/>
  <c r="P40"/>
  <c r="O40"/>
  <c r="N40"/>
  <c r="M40"/>
  <c r="L40"/>
  <c r="K40"/>
  <c r="J40"/>
  <c r="I40"/>
  <c r="H40"/>
  <c r="G40"/>
  <c r="M39"/>
  <c r="L39"/>
  <c r="K39"/>
  <c r="J39"/>
  <c r="I39"/>
  <c r="H39"/>
  <c r="G39"/>
  <c r="Q33"/>
  <c r="P33"/>
  <c r="O33"/>
  <c r="N33"/>
  <c r="M33"/>
  <c r="L33"/>
  <c r="K33"/>
  <c r="J33"/>
  <c r="I33"/>
  <c r="H33"/>
  <c r="G33"/>
  <c r="Q28"/>
  <c r="P28"/>
  <c r="O28"/>
  <c r="N28"/>
  <c r="M28"/>
  <c r="L28"/>
  <c r="K28"/>
  <c r="J28"/>
  <c r="I28"/>
  <c r="H28"/>
  <c r="G28"/>
  <c r="Q25"/>
  <c r="P25"/>
  <c r="O25"/>
  <c r="N25"/>
  <c r="M25"/>
  <c r="M15"/>
  <c r="L25"/>
  <c r="K25"/>
  <c r="J25"/>
  <c r="I25"/>
  <c r="I15"/>
  <c r="H25"/>
  <c r="G25"/>
  <c r="Q19"/>
  <c r="P19"/>
  <c r="P18" s="1"/>
  <c r="P17" s="1"/>
  <c r="O19"/>
  <c r="N19"/>
  <c r="N18" s="1"/>
  <c r="N17" s="1"/>
  <c r="M19"/>
  <c r="M18"/>
  <c r="M17" s="1"/>
  <c r="L19"/>
  <c r="L18" s="1"/>
  <c r="L17" s="1"/>
  <c r="K19"/>
  <c r="K18" s="1"/>
  <c r="K17" s="1"/>
  <c r="J19"/>
  <c r="J18" s="1"/>
  <c r="J17" s="1"/>
  <c r="I19"/>
  <c r="I18"/>
  <c r="I17" s="1"/>
  <c r="H19"/>
  <c r="H18" s="1"/>
  <c r="H17" s="1"/>
  <c r="G19"/>
  <c r="G18"/>
  <c r="G17" s="1"/>
  <c r="N117"/>
  <c r="G63"/>
  <c r="G16"/>
  <c r="K63"/>
  <c r="O63"/>
  <c r="H63"/>
  <c r="H16"/>
  <c r="N98"/>
  <c r="N63"/>
  <c r="N16" s="1"/>
  <c r="Q18"/>
  <c r="Q17" s="1"/>
  <c r="O18"/>
  <c r="O17" s="1"/>
  <c r="N103"/>
  <c r="M63"/>
  <c r="M16"/>
  <c r="N111"/>
  <c r="N84"/>
  <c r="P102"/>
  <c r="Q102"/>
  <c r="Q63"/>
  <c r="Q16"/>
  <c r="L63"/>
  <c r="P63"/>
  <c r="P16" s="1"/>
  <c r="N100"/>
  <c r="N122"/>
  <c r="H15"/>
  <c r="L15"/>
  <c r="K42"/>
  <c r="K16"/>
  <c r="O42"/>
  <c r="O16"/>
  <c r="H42"/>
  <c r="L42"/>
  <c r="L16"/>
  <c r="P42"/>
  <c r="J15"/>
  <c r="G15"/>
  <c r="K15"/>
  <c r="G42"/>
  <c r="Q42"/>
  <c r="N42"/>
  <c r="S19" i="6"/>
  <c r="P50" i="8"/>
  <c r="J51"/>
  <c r="J49"/>
  <c r="P52"/>
  <c r="J20" i="6"/>
  <c r="G94" i="8"/>
  <c r="J12" i="1"/>
  <c r="P49" i="8"/>
  <c r="P20" i="5"/>
  <c r="AB20" i="7" s="1"/>
  <c r="P22" i="6"/>
  <c r="F24" i="2"/>
  <c r="F22"/>
  <c r="I24"/>
  <c r="J24"/>
  <c r="S24" i="3"/>
  <c r="R30" i="6"/>
  <c r="P30" s="1"/>
  <c r="T20" i="5"/>
  <c r="T19" s="1"/>
  <c r="S19"/>
  <c r="K19"/>
  <c r="O22"/>
  <c r="N19"/>
  <c r="Q30" i="6"/>
  <c r="R20"/>
  <c r="Q20"/>
  <c r="Q19" s="1"/>
  <c r="AN24" i="7"/>
  <c r="AN27" s="1"/>
  <c r="K42" i="19"/>
  <c r="K16"/>
  <c r="P16"/>
  <c r="P42"/>
  <c r="AJ104"/>
  <c r="E19" i="3"/>
  <c r="K19" s="1"/>
  <c r="Q99" i="4"/>
  <c r="Q98" s="1"/>
  <c r="P98"/>
  <c r="Q105"/>
  <c r="Q20" i="7"/>
  <c r="Q22" s="1"/>
  <c r="Q32" s="1"/>
  <c r="O28" i="5"/>
  <c r="F20" i="7"/>
  <c r="F22" s="1"/>
  <c r="O17" i="3"/>
  <c r="T20"/>
  <c r="AQ24" i="7"/>
  <c r="AQ27" s="1"/>
  <c r="J27"/>
  <c r="C4" i="12"/>
  <c r="F31" i="9"/>
  <c r="M31" s="1"/>
  <c r="D61" i="8"/>
  <c r="N24" i="2"/>
  <c r="R24" s="1"/>
  <c r="M42" i="4"/>
  <c r="K49" i="8"/>
  <c r="K61"/>
  <c r="V17" i="7"/>
  <c r="V18" s="1"/>
  <c r="V32" s="1"/>
  <c r="M18"/>
  <c r="M32" s="1"/>
  <c r="U18"/>
  <c r="U32" s="1"/>
  <c r="X18"/>
  <c r="X32" s="1"/>
  <c r="P20" i="6"/>
  <c r="O24" i="3"/>
  <c r="E17"/>
  <c r="E24" s="1"/>
  <c r="O24" i="2"/>
  <c r="G20" i="7"/>
  <c r="G22" s="1"/>
  <c r="AC20"/>
  <c r="AC22" s="1"/>
  <c r="AC32" s="1"/>
  <c r="R19" i="5"/>
  <c r="O23" l="1"/>
  <c r="P28" i="6"/>
  <c r="AM24" i="7"/>
  <c r="AM27" s="1"/>
  <c r="D24"/>
  <c r="AK21"/>
  <c r="S24" i="2"/>
  <c r="S22" s="1"/>
  <c r="R22"/>
  <c r="P21" i="6"/>
  <c r="O21" i="5"/>
  <c r="O20" s="1"/>
  <c r="F27" i="7"/>
  <c r="AP32"/>
  <c r="D20"/>
  <c r="D22" s="1"/>
  <c r="O17"/>
  <c r="O18" s="1"/>
  <c r="AS24"/>
  <c r="AS27" s="1"/>
  <c r="AS32" s="1"/>
  <c r="R19" i="6"/>
  <c r="P19" s="1"/>
  <c r="K17" i="7"/>
  <c r="AR17" s="1"/>
  <c r="AK17" s="1"/>
  <c r="Q104" i="4"/>
  <c r="Q8" i="8"/>
  <c r="S8"/>
  <c r="S9" s="1"/>
  <c r="S10" s="1"/>
  <c r="S11" s="1"/>
  <c r="S12" s="1"/>
  <c r="S13" s="1"/>
  <c r="S14" s="1"/>
  <c r="S15" s="1"/>
  <c r="S16" s="1"/>
  <c r="S17" s="1"/>
  <c r="S18" s="1"/>
  <c r="S19" s="1"/>
  <c r="S20" s="1"/>
  <c r="S21" s="1"/>
  <c r="S22" s="1"/>
  <c r="S23" s="1"/>
  <c r="S24" s="1"/>
  <c r="S25" s="1"/>
  <c r="S26" s="1"/>
  <c r="S27" s="1"/>
  <c r="S28" s="1"/>
  <c r="S29" s="1"/>
  <c r="S30" s="1"/>
  <c r="S31" s="1"/>
  <c r="S32" s="1"/>
  <c r="S33" s="1"/>
  <c r="R8"/>
  <c r="R9" s="1"/>
  <c r="R10" s="1"/>
  <c r="R11" s="1"/>
  <c r="R12" s="1"/>
  <c r="R13" s="1"/>
  <c r="R14" s="1"/>
  <c r="R15" s="1"/>
  <c r="R16" s="1"/>
  <c r="R17" s="1"/>
  <c r="R18" s="1"/>
  <c r="P138" i="4"/>
  <c r="H42" i="19"/>
  <c r="H16"/>
  <c r="O16"/>
  <c r="O42"/>
  <c r="P103"/>
  <c r="Q104"/>
  <c r="AR24" i="7"/>
  <c r="K27"/>
  <c r="J48" i="8"/>
  <c r="J61"/>
  <c r="I61"/>
  <c r="P61"/>
  <c r="A31" i="9"/>
  <c r="U27" i="5"/>
  <c r="G29" i="7" s="1"/>
  <c r="J10" i="13"/>
  <c r="P100" i="19"/>
  <c r="J18" i="7"/>
  <c r="J32" s="1"/>
  <c r="J16" i="4"/>
  <c r="J42"/>
  <c r="Q101"/>
  <c r="Q100" s="1"/>
  <c r="P100"/>
  <c r="N17" i="3"/>
  <c r="T19"/>
  <c r="R7" i="15"/>
  <c r="R8" s="1"/>
  <c r="R9" s="1"/>
  <c r="R10" s="1"/>
  <c r="R11" s="1"/>
  <c r="R12" s="1"/>
  <c r="R13" s="1"/>
  <c r="R14" s="1"/>
  <c r="R15" s="1"/>
  <c r="R16" s="1"/>
  <c r="R17" s="1"/>
  <c r="R18" s="1"/>
  <c r="R19" s="1"/>
  <c r="R20" s="1"/>
  <c r="R21" s="1"/>
  <c r="R22" s="1"/>
  <c r="R23" s="1"/>
  <c r="R24" s="1"/>
  <c r="R25" s="1"/>
  <c r="R26" s="1"/>
  <c r="R27" s="1"/>
  <c r="R28" s="1"/>
  <c r="R29" s="1"/>
  <c r="R30" s="1"/>
  <c r="R31" s="1"/>
  <c r="R32" s="1"/>
  <c r="R33" s="1"/>
  <c r="R34" s="1"/>
  <c r="R35" s="1"/>
  <c r="R36" s="1"/>
  <c r="R37" s="1"/>
  <c r="Q7"/>
  <c r="S7"/>
  <c r="S8" s="1"/>
  <c r="S9" s="1"/>
  <c r="S10" s="1"/>
  <c r="S11" s="1"/>
  <c r="S12" s="1"/>
  <c r="S13" s="1"/>
  <c r="S14" s="1"/>
  <c r="S15" s="1"/>
  <c r="S16" s="1"/>
  <c r="S17" s="1"/>
  <c r="S18" s="1"/>
  <c r="S19" s="1"/>
  <c r="S20" s="1"/>
  <c r="S21" s="1"/>
  <c r="S22" s="1"/>
  <c r="S23" s="1"/>
  <c r="S24" s="1"/>
  <c r="S25" s="1"/>
  <c r="S26" s="1"/>
  <c r="S27" s="1"/>
  <c r="S28" s="1"/>
  <c r="S29" s="1"/>
  <c r="S30" s="1"/>
  <c r="S31" s="1"/>
  <c r="S32" s="1"/>
  <c r="S33" s="1"/>
  <c r="S34" s="1"/>
  <c r="S35" s="1"/>
  <c r="S36" s="1"/>
  <c r="S37" s="1"/>
  <c r="G16" i="19"/>
  <c r="G42"/>
  <c r="Q147"/>
  <c r="Q138"/>
  <c r="Q139" s="1"/>
  <c r="Q140" s="1"/>
  <c r="Q141" s="1"/>
  <c r="Q142" s="1"/>
  <c r="Q143" s="1"/>
  <c r="Q144" s="1"/>
  <c r="Q145" s="1"/>
  <c r="Q146" s="1"/>
  <c r="H22" i="7"/>
  <c r="I16" i="4"/>
  <c r="F7" i="12"/>
  <c r="AB22" i="7"/>
  <c r="AB32" s="1"/>
  <c r="AM20"/>
  <c r="Q102" i="19"/>
  <c r="S8" i="16"/>
  <c r="S9" s="1"/>
  <c r="S10" s="1"/>
  <c r="S11" s="1"/>
  <c r="S12" s="1"/>
  <c r="S13" s="1"/>
  <c r="S14" s="1"/>
  <c r="S15" s="1"/>
  <c r="S16" s="1"/>
  <c r="S17" s="1"/>
  <c r="S18" s="1"/>
  <c r="S19" s="1"/>
  <c r="S20" s="1"/>
  <c r="S21" s="1"/>
  <c r="S22" s="1"/>
  <c r="S23" s="1"/>
  <c r="S24" s="1"/>
  <c r="S25" s="1"/>
  <c r="Q8"/>
  <c r="R8"/>
  <c r="R9" s="1"/>
  <c r="R10" s="1"/>
  <c r="R11" s="1"/>
  <c r="R12" s="1"/>
  <c r="R13" s="1"/>
  <c r="R14" s="1"/>
  <c r="R15" s="1"/>
  <c r="R16" s="1"/>
  <c r="R17" s="1"/>
  <c r="R18" s="1"/>
  <c r="R19" s="1"/>
  <c r="R20" s="1"/>
  <c r="R21" s="1"/>
  <c r="R22" s="1"/>
  <c r="R23" s="1"/>
  <c r="R24" s="1"/>
  <c r="R25" s="1"/>
  <c r="U7"/>
  <c r="I16" i="19"/>
  <c r="I42"/>
  <c r="L42"/>
  <c r="L16"/>
  <c r="M16"/>
  <c r="M42"/>
  <c r="I31" i="16"/>
  <c r="P108" i="4"/>
  <c r="Q108" s="1"/>
  <c r="P137" i="19"/>
  <c r="P102"/>
  <c r="N103"/>
  <c r="O137"/>
  <c r="Q137" i="4"/>
  <c r="F2" i="12"/>
  <c r="D3"/>
  <c r="C25" i="2"/>
  <c r="P38" i="15"/>
  <c r="P40" s="1"/>
  <c r="S42" s="1"/>
  <c r="E7" i="12"/>
  <c r="Q101" i="19"/>
  <c r="Q107"/>
  <c r="O137" i="4"/>
  <c r="N100" i="19"/>
  <c r="F32" i="7" l="1"/>
  <c r="D27"/>
  <c r="D17"/>
  <c r="D18" s="1"/>
  <c r="K18"/>
  <c r="K32" s="1"/>
  <c r="AR18"/>
  <c r="U19" i="5"/>
  <c r="N137" i="19"/>
  <c r="O138"/>
  <c r="R19" i="8"/>
  <c r="R20" s="1"/>
  <c r="R21" s="1"/>
  <c r="R22" s="1"/>
  <c r="R23" s="1"/>
  <c r="R24" s="1"/>
  <c r="R25" s="1"/>
  <c r="R26" s="1"/>
  <c r="R27" s="1"/>
  <c r="R28" s="1"/>
  <c r="R29" s="1"/>
  <c r="R30" s="1"/>
  <c r="R31" s="1"/>
  <c r="R32" s="1"/>
  <c r="R33" s="1"/>
  <c r="R34" s="1"/>
  <c r="R35" s="1"/>
  <c r="R36" s="1"/>
  <c r="R37" s="1"/>
  <c r="R38" s="1"/>
  <c r="R39" s="1"/>
  <c r="R40" s="1"/>
  <c r="R41" s="1"/>
  <c r="R42" s="1"/>
  <c r="R43" s="1"/>
  <c r="R44" s="1"/>
  <c r="R45" s="1"/>
  <c r="R46" s="1"/>
  <c r="R47" s="1"/>
  <c r="R48" s="1"/>
  <c r="R49" s="1"/>
  <c r="Q29" i="5"/>
  <c r="N137" i="4"/>
  <c r="O138"/>
  <c r="S26" i="16"/>
  <c r="S27" s="1"/>
  <c r="S28" s="1"/>
  <c r="S29" s="1"/>
  <c r="S30" s="1"/>
  <c r="S31"/>
  <c r="T17" i="3"/>
  <c r="T24" s="1"/>
  <c r="N24"/>
  <c r="AK24" i="7"/>
  <c r="AR27"/>
  <c r="AK27" s="1"/>
  <c r="Q9" i="16"/>
  <c r="T8"/>
  <c r="U8" s="1"/>
  <c r="AN29" i="7"/>
  <c r="G31"/>
  <c r="D29"/>
  <c r="P139" i="4"/>
  <c r="T8" i="8"/>
  <c r="Q9"/>
  <c r="S38" i="15"/>
  <c r="S39" s="1"/>
  <c r="S40" s="1"/>
  <c r="P103" i="4"/>
  <c r="F20" i="3"/>
  <c r="C22" i="2"/>
  <c r="I25"/>
  <c r="Q8" i="15"/>
  <c r="T7"/>
  <c r="U7" s="1"/>
  <c r="AQ18" i="7"/>
  <c r="AQ32" s="1"/>
  <c r="AK18"/>
  <c r="Q138" i="4"/>
  <c r="P138" i="19"/>
  <c r="P139" s="1"/>
  <c r="P140" s="1"/>
  <c r="P141" s="1"/>
  <c r="P142" s="1"/>
  <c r="P143" s="1"/>
  <c r="P144" s="1"/>
  <c r="P145" s="1"/>
  <c r="P146" s="1"/>
  <c r="D4" i="12"/>
  <c r="F4" s="1"/>
  <c r="F3"/>
  <c r="R26" i="16"/>
  <c r="R27" s="1"/>
  <c r="R28" s="1"/>
  <c r="R29" s="1"/>
  <c r="R30" s="1"/>
  <c r="R31"/>
  <c r="AM22" i="7"/>
  <c r="AM32" s="1"/>
  <c r="AO29"/>
  <c r="H32"/>
  <c r="R31" i="5"/>
  <c r="S34" i="8"/>
  <c r="S35" s="1"/>
  <c r="S36" s="1"/>
  <c r="S37" s="1"/>
  <c r="S38" s="1"/>
  <c r="S39" s="1"/>
  <c r="S40" s="1"/>
  <c r="S41" s="1"/>
  <c r="Q103" i="19"/>
  <c r="Q103" i="4"/>
  <c r="Q100" i="19"/>
  <c r="R38" i="15"/>
  <c r="R39" s="1"/>
  <c r="R40" s="1"/>
  <c r="G32" i="7" l="1"/>
  <c r="D31"/>
  <c r="AR32"/>
  <c r="Q139" i="4"/>
  <c r="T8" i="15"/>
  <c r="U8" s="1"/>
  <c r="Q9"/>
  <c r="O139" i="19"/>
  <c r="N138"/>
  <c r="K20" i="3"/>
  <c r="F17"/>
  <c r="T9" i="8"/>
  <c r="Q10"/>
  <c r="Q10" i="16"/>
  <c r="T9"/>
  <c r="U9" s="1"/>
  <c r="R32" i="5"/>
  <c r="S42" i="8"/>
  <c r="S43" s="1"/>
  <c r="S44" s="1"/>
  <c r="S45" s="1"/>
  <c r="S46" s="1"/>
  <c r="S47" s="1"/>
  <c r="S48" s="1"/>
  <c r="S49" s="1"/>
  <c r="P140" i="4"/>
  <c r="J25" i="2"/>
  <c r="N25" s="1"/>
  <c r="I22"/>
  <c r="AK29" i="7"/>
  <c r="AN31"/>
  <c r="AK31" s="1"/>
  <c r="P147" i="19"/>
  <c r="O139" i="4"/>
  <c r="N138"/>
  <c r="R50" i="8"/>
  <c r="R51" s="1"/>
  <c r="R52" s="1"/>
  <c r="R53" s="1"/>
  <c r="R54" s="1"/>
  <c r="R55" s="1"/>
  <c r="R56" s="1"/>
  <c r="R57" s="1"/>
  <c r="R58" s="1"/>
  <c r="R59" s="1"/>
  <c r="R60" s="1"/>
  <c r="R61" s="1"/>
  <c r="Q34" i="5"/>
  <c r="D32" i="7"/>
  <c r="O140" i="4" l="1"/>
  <c r="N139"/>
  <c r="N139" i="19"/>
  <c r="O140"/>
  <c r="Q140" i="4"/>
  <c r="R34" i="5"/>
  <c r="O34" s="1"/>
  <c r="S50" i="8"/>
  <c r="S51" s="1"/>
  <c r="S52" s="1"/>
  <c r="S53" s="1"/>
  <c r="Q11"/>
  <c r="T10"/>
  <c r="P141" i="4"/>
  <c r="T10" i="16"/>
  <c r="U10" s="1"/>
  <c r="Q11"/>
  <c r="N22" i="2"/>
  <c r="J22"/>
  <c r="K17" i="3"/>
  <c r="K24" s="1"/>
  <c r="F24"/>
  <c r="Q10" i="15"/>
  <c r="T9"/>
  <c r="U9" s="1"/>
  <c r="Q27" i="5"/>
  <c r="R20" i="7" l="1"/>
  <c r="O20" s="1"/>
  <c r="Q11" i="15"/>
  <c r="T10"/>
  <c r="U10" s="1"/>
  <c r="R33" i="5"/>
  <c r="S54" i="8"/>
  <c r="S55" s="1"/>
  <c r="S56" s="1"/>
  <c r="S57" s="1"/>
  <c r="S58" s="1"/>
  <c r="S59" s="1"/>
  <c r="S60" s="1"/>
  <c r="S61" s="1"/>
  <c r="O141" i="19"/>
  <c r="N140"/>
  <c r="AJ140" s="1"/>
  <c r="O141" i="4"/>
  <c r="N140"/>
  <c r="Q12" i="8"/>
  <c r="T11"/>
  <c r="Q141" i="4"/>
  <c r="T11" i="16"/>
  <c r="U11" s="1"/>
  <c r="Q12"/>
  <c r="O22" i="2"/>
  <c r="K22"/>
  <c r="P142" i="4"/>
  <c r="T12" i="16" l="1"/>
  <c r="U12" s="1"/>
  <c r="Q13"/>
  <c r="O142" i="19"/>
  <c r="N141"/>
  <c r="Q12" i="15"/>
  <c r="T11"/>
  <c r="U11" s="1"/>
  <c r="P143" i="4"/>
  <c r="Q142"/>
  <c r="AJ140"/>
  <c r="AN20" i="7"/>
  <c r="R22"/>
  <c r="R32" s="1"/>
  <c r="T12" i="8"/>
  <c r="Q13"/>
  <c r="N141" i="4"/>
  <c r="O142"/>
  <c r="T13" i="8" l="1"/>
  <c r="Q14"/>
  <c r="O143" i="19"/>
  <c r="N142"/>
  <c r="P144" i="4"/>
  <c r="T13" i="16"/>
  <c r="U13" s="1"/>
  <c r="Q14"/>
  <c r="Q143" i="4"/>
  <c r="Q13" i="15"/>
  <c r="T12"/>
  <c r="U12" s="1"/>
  <c r="AN22" i="7"/>
  <c r="AN32" s="1"/>
  <c r="O143" i="4"/>
  <c r="N142"/>
  <c r="Q144" l="1"/>
  <c r="N143" i="19"/>
  <c r="O144"/>
  <c r="O144" i="4"/>
  <c r="N143"/>
  <c r="Q14" i="15"/>
  <c r="T13"/>
  <c r="U13" s="1"/>
  <c r="T14" i="16"/>
  <c r="U14" s="1"/>
  <c r="Q15"/>
  <c r="P145" i="4"/>
  <c r="T14" i="8"/>
  <c r="Q15"/>
  <c r="Q16" l="1"/>
  <c r="T15"/>
  <c r="O145" i="19"/>
  <c r="N144"/>
  <c r="Q145" i="4"/>
  <c r="T15" i="16"/>
  <c r="U15" s="1"/>
  <c r="Q16"/>
  <c r="P146" i="4"/>
  <c r="Q15" i="15"/>
  <c r="T14"/>
  <c r="U14" s="1"/>
  <c r="O145" i="4"/>
  <c r="N144"/>
  <c r="N145" l="1"/>
  <c r="O146"/>
  <c r="P147"/>
  <c r="Q146"/>
  <c r="Q147" s="1"/>
  <c r="T16" i="8"/>
  <c r="Q17"/>
  <c r="O146" i="19"/>
  <c r="N145"/>
  <c r="Q16" i="15"/>
  <c r="T15"/>
  <c r="U15" s="1"/>
  <c r="T16" i="16"/>
  <c r="U16" s="1"/>
  <c r="Q17"/>
  <c r="N146" i="4" l="1"/>
  <c r="P36" i="5"/>
  <c r="O147" i="4"/>
  <c r="T17" i="16"/>
  <c r="U17" s="1"/>
  <c r="Q18"/>
  <c r="T16" i="15"/>
  <c r="U16" s="1"/>
  <c r="Q17"/>
  <c r="T17" i="8"/>
  <c r="Q18"/>
  <c r="N146" i="19"/>
  <c r="N136" s="1"/>
  <c r="O147"/>
  <c r="N147" s="1"/>
  <c r="P19" i="5" l="1"/>
  <c r="S22" i="7"/>
  <c r="S32" s="1"/>
  <c r="O32" s="1"/>
  <c r="O22"/>
  <c r="P29" i="5"/>
  <c r="O29" s="1"/>
  <c r="Q19" i="8"/>
  <c r="T18"/>
  <c r="T18" i="16"/>
  <c r="U18" s="1"/>
  <c r="Q19"/>
  <c r="N147" i="4"/>
  <c r="N136"/>
  <c r="Q18" i="15"/>
  <c r="T17"/>
  <c r="U17" s="1"/>
  <c r="Q19" l="1"/>
  <c r="T18"/>
  <c r="U18" s="1"/>
  <c r="AD22" i="7"/>
  <c r="AD32" s="1"/>
  <c r="Z32" s="1"/>
  <c r="Z20"/>
  <c r="Z22" s="1"/>
  <c r="T19" i="8"/>
  <c r="Q20"/>
  <c r="T19" i="16"/>
  <c r="U19" s="1"/>
  <c r="Q20"/>
  <c r="AO20" i="7"/>
  <c r="T20" i="16" l="1"/>
  <c r="U20" s="1"/>
  <c r="Q21"/>
  <c r="Q20" i="15"/>
  <c r="T19"/>
  <c r="U19" s="1"/>
  <c r="AO22" i="7"/>
  <c r="AO32" s="1"/>
  <c r="AK32" s="1"/>
  <c r="AK20"/>
  <c r="AK22" s="1"/>
  <c r="Q21" i="8"/>
  <c r="T20"/>
  <c r="T21" l="1"/>
  <c r="Q22"/>
  <c r="T20" i="15"/>
  <c r="U20" s="1"/>
  <c r="Q21"/>
  <c r="T21" i="16"/>
  <c r="U21" s="1"/>
  <c r="Q22"/>
  <c r="Q23" l="1"/>
  <c r="T22"/>
  <c r="U22" s="1"/>
  <c r="T22" i="8"/>
  <c r="Q23"/>
  <c r="Q22" i="15"/>
  <c r="T21"/>
  <c r="U21" s="1"/>
  <c r="P30" i="5" l="1"/>
  <c r="O30" s="1"/>
  <c r="O27" s="1"/>
  <c r="O19" s="1"/>
  <c r="Q24" i="8"/>
  <c r="T23"/>
  <c r="Q23" i="15"/>
  <c r="T22"/>
  <c r="U22" s="1"/>
  <c r="Q24" i="16"/>
  <c r="T23"/>
  <c r="U23" s="1"/>
  <c r="Q25" l="1"/>
  <c r="T24"/>
  <c r="U24" s="1"/>
  <c r="T24" i="8"/>
  <c r="Q25"/>
  <c r="Q24" i="15"/>
  <c r="T23"/>
  <c r="U23" s="1"/>
  <c r="T25" i="8" l="1"/>
  <c r="Q26"/>
  <c r="T24" i="15"/>
  <c r="U24" s="1"/>
  <c r="Q25"/>
  <c r="T25" i="16"/>
  <c r="Q31"/>
  <c r="Q26"/>
  <c r="T26" i="8" l="1"/>
  <c r="Q27"/>
  <c r="T26" i="16"/>
  <c r="U26" s="1"/>
  <c r="Q27"/>
  <c r="Q26" i="15"/>
  <c r="T25"/>
  <c r="U25" s="1"/>
  <c r="T31" i="16"/>
  <c r="U31" s="1"/>
  <c r="U25"/>
  <c r="T27" i="8" l="1"/>
  <c r="Q28"/>
  <c r="T27" i="16"/>
  <c r="U27" s="1"/>
  <c r="Q28"/>
  <c r="Q27" i="15"/>
  <c r="T26"/>
  <c r="U26" s="1"/>
  <c r="Q29" i="8" l="1"/>
  <c r="T28"/>
  <c r="T28" i="16"/>
  <c r="U28" s="1"/>
  <c r="Q29"/>
  <c r="Q28" i="15"/>
  <c r="T27"/>
  <c r="U27" s="1"/>
  <c r="Q30" i="16" l="1"/>
  <c r="T30" s="1"/>
  <c r="U30" s="1"/>
  <c r="T29"/>
  <c r="U29" s="1"/>
  <c r="Q29" i="15"/>
  <c r="T28"/>
  <c r="U28" s="1"/>
  <c r="Q30" i="8"/>
  <c r="T29"/>
  <c r="T30" l="1"/>
  <c r="Q31"/>
  <c r="Q30" i="15"/>
  <c r="T29"/>
  <c r="U29" s="1"/>
  <c r="T30" l="1"/>
  <c r="U30" s="1"/>
  <c r="Q31"/>
  <c r="T31" i="8"/>
  <c r="Q32"/>
  <c r="Q32" i="15" l="1"/>
  <c r="T31"/>
  <c r="U31" s="1"/>
  <c r="Q33" i="8"/>
  <c r="T32"/>
  <c r="P31" i="5" l="1"/>
  <c r="T33" i="8"/>
  <c r="Q34"/>
  <c r="Q33" i="15"/>
  <c r="T32"/>
  <c r="U32" s="1"/>
  <c r="T34" i="8" l="1"/>
  <c r="Q35"/>
  <c r="Q34" i="15"/>
  <c r="T33"/>
  <c r="U33" s="1"/>
  <c r="T35" i="8" l="1"/>
  <c r="Q36"/>
  <c r="Q35" i="15"/>
  <c r="T34"/>
  <c r="U34" s="1"/>
  <c r="Q37" i="8" l="1"/>
  <c r="T36"/>
  <c r="T35" i="15"/>
  <c r="U35" s="1"/>
  <c r="Q36"/>
  <c r="T37" i="8" l="1"/>
  <c r="Q38"/>
  <c r="T36" i="15"/>
  <c r="U36" s="1"/>
  <c r="Q37"/>
  <c r="Q39" i="8" l="1"/>
  <c r="T38"/>
  <c r="Q38" i="15"/>
  <c r="T37"/>
  <c r="U37" s="1"/>
  <c r="Q40" i="8" l="1"/>
  <c r="T39"/>
  <c r="Q39" i="15"/>
  <c r="T38"/>
  <c r="U38" s="1"/>
  <c r="T40" i="8" l="1"/>
  <c r="Q41"/>
  <c r="Q40" i="15"/>
  <c r="T40" s="1"/>
  <c r="T39"/>
  <c r="U39" s="1"/>
  <c r="U40" l="1"/>
  <c r="T42"/>
  <c r="P32" i="5"/>
  <c r="T41" i="8"/>
  <c r="Q42"/>
  <c r="T42" l="1"/>
  <c r="Q43"/>
  <c r="Q44" l="1"/>
  <c r="T43"/>
  <c r="Q45" l="1"/>
  <c r="T44"/>
  <c r="Q46" l="1"/>
  <c r="T45"/>
  <c r="Q47" l="1"/>
  <c r="T46"/>
  <c r="T47" l="1"/>
  <c r="Q48"/>
  <c r="T48" l="1"/>
  <c r="Q49"/>
  <c r="T49" l="1"/>
  <c r="Q50"/>
  <c r="Q51" l="1"/>
  <c r="T50"/>
  <c r="Q52" l="1"/>
  <c r="T51"/>
  <c r="Q53" l="1"/>
  <c r="T52"/>
  <c r="P33" i="5" l="1"/>
  <c r="T53" i="8"/>
  <c r="Q54"/>
  <c r="Q55" l="1"/>
  <c r="T54"/>
  <c r="Q56" l="1"/>
  <c r="T55"/>
  <c r="T56" l="1"/>
  <c r="Q57"/>
  <c r="T57" l="1"/>
  <c r="Q58"/>
  <c r="Q59" l="1"/>
  <c r="T58"/>
  <c r="T59" l="1"/>
  <c r="Q60"/>
  <c r="T60" l="1"/>
  <c r="Q61"/>
  <c r="T61" s="1"/>
  <c r="Q36" i="5"/>
  <c r="Q19" s="1"/>
</calcChain>
</file>

<file path=xl/comments1.xml><?xml version="1.0" encoding="utf-8"?>
<comments xmlns="http://schemas.openxmlformats.org/spreadsheetml/2006/main">
  <authors>
    <author>Махмутова</author>
  </authors>
  <commentList>
    <comment ref="H24" authorId="0">
      <text>
        <r>
          <rPr>
            <b/>
            <sz val="9"/>
            <color indexed="81"/>
            <rFont val="Tahoma"/>
            <family val="2"/>
            <charset val="204"/>
          </rPr>
          <t>Я:
46,05 БЕЗРУКОВА+
19,01 ДЕМЕНКО(ПОД ВЛОПРОСОМ)</t>
        </r>
        <r>
          <rPr>
            <sz val="9"/>
            <color indexed="81"/>
            <rFont val="Tahoma"/>
            <family val="2"/>
            <charset val="204"/>
          </rPr>
          <t xml:space="preserve">
</t>
        </r>
      </text>
    </comment>
  </commentList>
</comments>
</file>

<file path=xl/comments2.xml><?xml version="1.0" encoding="utf-8"?>
<comments xmlns="http://schemas.openxmlformats.org/spreadsheetml/2006/main">
  <authors>
    <author>Махмутова</author>
  </authors>
  <commentList>
    <comment ref="G24" authorId="0">
      <text>
        <r>
          <rPr>
            <b/>
            <sz val="9"/>
            <color indexed="81"/>
            <rFont val="Tahoma"/>
            <charset val="1"/>
          </rPr>
          <t>Махмутова:</t>
        </r>
        <r>
          <rPr>
            <sz val="9"/>
            <color indexed="81"/>
            <rFont val="Tahoma"/>
            <charset val="1"/>
          </rPr>
          <t xml:space="preserve">
ангарская 1</t>
        </r>
      </text>
    </comment>
    <comment ref="H24" authorId="0">
      <text>
        <r>
          <rPr>
            <b/>
            <sz val="9"/>
            <color indexed="81"/>
            <rFont val="Tahoma"/>
            <charset val="1"/>
          </rPr>
          <t>Махмутова:</t>
        </r>
        <r>
          <rPr>
            <sz val="9"/>
            <color indexed="81"/>
            <rFont val="Tahoma"/>
            <charset val="1"/>
          </rPr>
          <t xml:space="preserve">
СНОС ХМЕЛЬНИЦКОГО 106  - 977938,80
</t>
        </r>
      </text>
    </comment>
    <comment ref="H29" authorId="0">
      <text>
        <r>
          <rPr>
            <b/>
            <sz val="9"/>
            <color indexed="81"/>
            <rFont val="Tahoma"/>
            <charset val="1"/>
          </rPr>
          <t>Махмутова:</t>
        </r>
        <r>
          <rPr>
            <sz val="9"/>
            <color indexed="81"/>
            <rFont val="Tahoma"/>
            <charset val="1"/>
          </rPr>
          <t xml:space="preserve">
СНОС ХМЕЛЬНИЦКОГО 106  - 977938,80
</t>
        </r>
      </text>
    </comment>
  </commentList>
</comments>
</file>

<file path=xl/sharedStrings.xml><?xml version="1.0" encoding="utf-8"?>
<sst xmlns="http://schemas.openxmlformats.org/spreadsheetml/2006/main" count="2703" uniqueCount="789">
  <si>
    <t>«ПРИЛОЖЕНИЕ № 5</t>
  </si>
  <si>
    <t>к Программе</t>
  </si>
  <si>
    <t xml:space="preserve">ПЕРЕЧЕНЬ
 многоквартирных домов, признанных в установленном порядке до 1 января 2017 года аварийными                                           и подлежащими сносу или реконструкции в связи с физическим износом в процессе их эксплуатации,                                                                                      с объёмами бюджетных ассигнований на финансовое обеспечение мероприятий Программы на 2019-2025 годы </t>
  </si>
  <si>
    <t>№ п/п</t>
  </si>
  <si>
    <t>Адрес
многоквартирного дома</t>
  </si>
  <si>
    <t>Документ,
подтверждающий
признание много-квартирного дома
аварийным</t>
  </si>
  <si>
    <t>Планируемая дата  окончания
переселения (квартал, год)</t>
  </si>
  <si>
    <t>Планируемая дата сноса 
многоквартирного дома (квартал, год)</t>
  </si>
  <si>
    <t>Число жителей, планируемых
 к переселению</t>
  </si>
  <si>
    <t>Количество расселяемых жилых
помещений</t>
  </si>
  <si>
    <t>Площадь расселяемых жилых помещений</t>
  </si>
  <si>
    <t>Объём бюджетных ассигнований на финансовое обеспечение Программы</t>
  </si>
  <si>
    <t>Примечание</t>
  </si>
  <si>
    <t>всего</t>
  </si>
  <si>
    <t>в том числе</t>
  </si>
  <si>
    <t xml:space="preserve">общий объём бюджетных ассигнований,                               в том числе:                     </t>
  </si>
  <si>
    <t>за счёт средств государственной корпорации - Фонда содействия реформированию жилищно-коммунального хозяйства</t>
  </si>
  <si>
    <t xml:space="preserve">за счёт средств областного 
бюджета Ульяновской области </t>
  </si>
  <si>
    <t xml:space="preserve">за счёт  средств бюджетов муниципальных 
образований Ульяновской области </t>
  </si>
  <si>
    <t>частная
собственность</t>
  </si>
  <si>
    <t>муниципальная
собственность</t>
  </si>
  <si>
    <t>номер</t>
  </si>
  <si>
    <t>дата</t>
  </si>
  <si>
    <t>чел.</t>
  </si>
  <si>
    <t>ед.</t>
  </si>
  <si>
    <t>кв. м</t>
  </si>
  <si>
    <t>руб.</t>
  </si>
  <si>
    <t xml:space="preserve">Итого по Ульяновской области, в том числе: </t>
  </si>
  <si>
    <t>X</t>
  </si>
  <si>
    <t xml:space="preserve"> с финансовой поддержкой государственной корпорации – Фонда содействия реформированию жилищно-коммунального хозяйства (далее – Фонд)</t>
  </si>
  <si>
    <t>без финансовой поддержки Фонда</t>
  </si>
  <si>
    <t>Итого по этапу 2019 года:</t>
  </si>
  <si>
    <t>Итого по этапу 2019 года с финансовой поддержкой Фонда:</t>
  </si>
  <si>
    <t>Итого по муниципальному образованию                                «Инзенское городское поселение»</t>
  </si>
  <si>
    <t>1.</t>
  </si>
  <si>
    <t xml:space="preserve">г. Инза, ул. Красных Бойцов, д. 2Б
</t>
  </si>
  <si>
    <t>IV кв. 2020 г.</t>
  </si>
  <si>
    <t>IV кв. 2021 г.</t>
  </si>
  <si>
    <t>2.</t>
  </si>
  <si>
    <t>г. Инза, ул. Красных Бойцов, д. 33</t>
  </si>
  <si>
    <t>б/н</t>
  </si>
  <si>
    <t>3.</t>
  </si>
  <si>
    <t xml:space="preserve">г. Инза, ул. Революции, д. 95
</t>
  </si>
  <si>
    <t>4.</t>
  </si>
  <si>
    <t>г. Инза, ул. Рузаевская, д. 30</t>
  </si>
  <si>
    <t>5.</t>
  </si>
  <si>
    <t>г. Инза, ул. Чапаева, д. 3</t>
  </si>
  <si>
    <t>Итого по муниципальному образованию «Сенгилеевское городское поселение»</t>
  </si>
  <si>
    <t>6.</t>
  </si>
  <si>
    <t>р.п. Цемзавод, ул. 1 Пятилетки,                    д. 14</t>
  </si>
  <si>
    <t>01</t>
  </si>
  <si>
    <t>7.</t>
  </si>
  <si>
    <t>р.п. Цемзавод, ул. Горького, д. 3</t>
  </si>
  <si>
    <t>181-П</t>
  </si>
  <si>
    <t>Итого по муниципальному образованию «Ишеевское городское поселение»</t>
  </si>
  <si>
    <t>8.</t>
  </si>
  <si>
    <t xml:space="preserve">р.п. Ишеевка, пер. Почтовый, д. 8
</t>
  </si>
  <si>
    <t>9.</t>
  </si>
  <si>
    <t>р.п. Ишеевка, пер. Ульянова, д. 6</t>
  </si>
  <si>
    <t>70</t>
  </si>
  <si>
    <t>10.</t>
  </si>
  <si>
    <t>р.п. Ишеевка, ул. Мира, д. 3</t>
  </si>
  <si>
    <t>11.</t>
  </si>
  <si>
    <t>д. Салмановка, ул. Текстильщиков, д. 12</t>
  </si>
  <si>
    <t>Итого по муниципальному образованию                 «город Ульяновск»</t>
  </si>
  <si>
    <t>12.</t>
  </si>
  <si>
    <t>г. Ульяновск, 4 пер. Ватутина, д. 8</t>
  </si>
  <si>
    <t>13.</t>
  </si>
  <si>
    <t>г. Ульяновск, ул. Локомотивная,                           д. 70</t>
  </si>
  <si>
    <t>14.</t>
  </si>
  <si>
    <t>г. Ульяновск, ул. Хваткова, д. 12</t>
  </si>
  <si>
    <t>15.</t>
  </si>
  <si>
    <t>г. Ульяновск, ул. Хваткова, д. 14</t>
  </si>
  <si>
    <t>16.</t>
  </si>
  <si>
    <t>г. Ульяновск, пос. УКСМ, д. 4</t>
  </si>
  <si>
    <t>По этапу  2019 года без финансовой поддержки Фонда</t>
  </si>
  <si>
    <t>Предоставление жилого помещения из муниципального жилищного фонда</t>
  </si>
  <si>
    <t>17.</t>
  </si>
  <si>
    <t>Итого по этапу 2020 года:</t>
  </si>
  <si>
    <t>Х</t>
  </si>
  <si>
    <t>Итого по этапу 2020 года с финансовой поддержкой Фонда:</t>
  </si>
  <si>
    <t>Итого по муниципальному образованию «Барышское городское поселение»</t>
  </si>
  <si>
    <t>18.</t>
  </si>
  <si>
    <t>г. Барыш, пер. Ленина, д. 33</t>
  </si>
  <si>
    <t>IV кв. 2022 г.</t>
  </si>
  <si>
    <t>19.</t>
  </si>
  <si>
    <t>г. Барыш, ул. Гладышева, д. 10</t>
  </si>
  <si>
    <t>Итого по муниципальному образованию «Языковское городское поселение»</t>
  </si>
  <si>
    <t>20.</t>
  </si>
  <si>
    <t>р.п. Языково, ул. Красный Текстильщик,     д. 25</t>
  </si>
  <si>
    <t>6</t>
  </si>
  <si>
    <t>21.</t>
  </si>
  <si>
    <t>р.п. Языково, ул. Красный Текстильщик,     д. 27</t>
  </si>
  <si>
    <t>7</t>
  </si>
  <si>
    <t>Итого по муниципальному образованию
«город Димитровград»</t>
  </si>
  <si>
    <t>22.</t>
  </si>
  <si>
    <t>г. Димитровград, ул. Власть Труда, д. 19</t>
  </si>
  <si>
    <t>40/12</t>
  </si>
  <si>
    <t>23.</t>
  </si>
  <si>
    <t>г. Димитровград, п. Лесхоза, д. 2а</t>
  </si>
  <si>
    <t>01/13</t>
  </si>
  <si>
    <t>24.</t>
  </si>
  <si>
    <t>г. Димитровград, ул. Прониной,                                                                          д. 15</t>
  </si>
  <si>
    <t>30/13</t>
  </si>
  <si>
    <t>Итого по муниципальному 
образованию «город Новоульяновск»</t>
  </si>
  <si>
    <t>25.</t>
  </si>
  <si>
    <t>г. Новоульяновск,                               пер. Коммунаров, д. 1/8</t>
  </si>
  <si>
    <t>756-П</t>
  </si>
  <si>
    <t>26.</t>
  </si>
  <si>
    <t>г. Новоульяновск,                                пер. Коммунаров, д. 3</t>
  </si>
  <si>
    <t>27.</t>
  </si>
  <si>
    <t>г. Новоульяновск,                                          пер. Коммунаров, д. 5</t>
  </si>
  <si>
    <t>28.</t>
  </si>
  <si>
    <t>г. Новоульяновск,                                  пер. Коммунаров, д. 7</t>
  </si>
  <si>
    <t>29.</t>
  </si>
  <si>
    <t>г. Новоульяновск, пос. Северный,         д. 5</t>
  </si>
  <si>
    <t>Итого по муниципальному образованию                 «город Ульяновск»:</t>
  </si>
  <si>
    <t>30.</t>
  </si>
  <si>
    <t>г. Ульяновск, ул. Полбина, д. 26</t>
  </si>
  <si>
    <t>31.</t>
  </si>
  <si>
    <t>г. Ульяновск, ул. Стасова, д. 7</t>
  </si>
  <si>
    <t>По этапу  2020 года без финансовой поддержки Фонда</t>
  </si>
  <si>
    <t>32.</t>
  </si>
  <si>
    <t>г. Барыш, пер. Победы, д. 8</t>
  </si>
  <si>
    <t>33.</t>
  </si>
  <si>
    <t>г. Барыш, ул. Елховская, д. 28</t>
  </si>
  <si>
    <t>34.</t>
  </si>
  <si>
    <t>35.</t>
  </si>
  <si>
    <t>36.</t>
  </si>
  <si>
    <t>г. Инза, пос. Лесной, д. 2</t>
  </si>
  <si>
    <t>37.</t>
  </si>
  <si>
    <t>р.п. Языково, ул. Красный Текстильщик, д. 17</t>
  </si>
  <si>
    <t>9</t>
  </si>
  <si>
    <t>38.</t>
  </si>
  <si>
    <t>г. Сенгилей, ул. Торговый проезд,           д. 1</t>
  </si>
  <si>
    <t>550-П</t>
  </si>
  <si>
    <t>39.</t>
  </si>
  <si>
    <t>г. Сенгилей, ул. Тельмана, д. 16</t>
  </si>
  <si>
    <t>05</t>
  </si>
  <si>
    <t>Итого по муниципальному образованию «Новослободское сельское поселение»</t>
  </si>
  <si>
    <t>40.</t>
  </si>
  <si>
    <t>с. Новая Слобода,                            ул. Первомайская,  д. 1А</t>
  </si>
  <si>
    <t>Предоставлены жилые помещения из муниципального жилищного фонда</t>
  </si>
  <si>
    <t>41.</t>
  </si>
  <si>
    <t>г. Димитровград, ул. Прониной, д. 15</t>
  </si>
  <si>
    <t>42.</t>
  </si>
  <si>
    <t xml:space="preserve">г. Ульяновск,                                     ул. Мостостроителей, д. 6                                              </t>
  </si>
  <si>
    <t>43.</t>
  </si>
  <si>
    <t>44.</t>
  </si>
  <si>
    <t>г. Ульяновск, пос. 901 км, д. 2</t>
  </si>
  <si>
    <t>Итого по этапу 2021 года с финансовой поддержкой Фонда:</t>
  </si>
  <si>
    <t>45.</t>
  </si>
  <si>
    <t>г. Барыш, пер. Пушкина, д. 11</t>
  </si>
  <si>
    <t>691-А</t>
  </si>
  <si>
    <t>IV кв. 2023 г.</t>
  </si>
  <si>
    <t>46.</t>
  </si>
  <si>
    <t>г. Барыш, ул. Луначарского, д. 18</t>
  </si>
  <si>
    <t>690-А</t>
  </si>
  <si>
    <t>Итого по муниципальному образованию «Инзенское городское поселение»</t>
  </si>
  <si>
    <t>47.</t>
  </si>
  <si>
    <t>г. Инза, ул. Чапаева, д. 16</t>
  </si>
  <si>
    <t>48.</t>
  </si>
  <si>
    <t>г. Инза, пос. Лесной, д. 6</t>
  </si>
  <si>
    <t>49.</t>
  </si>
  <si>
    <t>р.п. Языково, ул. Цветкова, д. 5а</t>
  </si>
  <si>
    <t>50.</t>
  </si>
  <si>
    <t>р.п. Языково, ул. Цветкова, д. 7</t>
  </si>
  <si>
    <t>51.</t>
  </si>
  <si>
    <t>р.п. Языково, ул. Цветкова, д. 9</t>
  </si>
  <si>
    <t>52.</t>
  </si>
  <si>
    <t>р.п. Языково, ул. Цветкова, д. 9а</t>
  </si>
  <si>
    <t>53.</t>
  </si>
  <si>
    <t>р.п. Языково, ул. Цветкова, д. 10</t>
  </si>
  <si>
    <t>54.</t>
  </si>
  <si>
    <t>р.п. Языково, ул. Цветкова, д. 1а</t>
  </si>
  <si>
    <t>55.</t>
  </si>
  <si>
    <t>р.п. Языково, ул. Красный Текстильщик,  д. 19</t>
  </si>
  <si>
    <t>11</t>
  </si>
  <si>
    <t>Итого по муниципальному образованию                   «Сурское городское поселение»</t>
  </si>
  <si>
    <t>56.</t>
  </si>
  <si>
    <t>р.п. Сурское, ул. Жигарина, д. 49</t>
  </si>
  <si>
    <t>138а</t>
  </si>
  <si>
    <t>57.</t>
  </si>
  <si>
    <t xml:space="preserve">р.п. Ишеевка, ул. Ульянова, д. 2
</t>
  </si>
  <si>
    <t>58.</t>
  </si>
  <si>
    <t xml:space="preserve">р.п. Ишеевка, ул. Ульянова, д. 10
</t>
  </si>
  <si>
    <t>59.</t>
  </si>
  <si>
    <t>г. Димитровград, ул. Бурцева, д. 6</t>
  </si>
  <si>
    <t>66/12</t>
  </si>
  <si>
    <t>60.</t>
  </si>
  <si>
    <t>г. Димитровград, ул. Власть Труда, д. 21</t>
  </si>
  <si>
    <t>31/12</t>
  </si>
  <si>
    <t>61.</t>
  </si>
  <si>
    <t>г. Димитровград, ул. Вокзальная,               д. 40</t>
  </si>
  <si>
    <t>08/14</t>
  </si>
  <si>
    <t>62.</t>
  </si>
  <si>
    <t>г. Димитровград, ул. Парковая,              д. 8</t>
  </si>
  <si>
    <t>69/12</t>
  </si>
  <si>
    <t>63.</t>
  </si>
  <si>
    <t>г. Димитровград, ул. Парковая,           д. 9</t>
  </si>
  <si>
    <t>53/12</t>
  </si>
  <si>
    <t>64.</t>
  </si>
  <si>
    <t>г. Димитровград, ул. Бурцева, д. 4</t>
  </si>
  <si>
    <t>04/14</t>
  </si>
  <si>
    <t>IV кв. 2024 г.</t>
  </si>
  <si>
    <t>IV кв. 2025 г.</t>
  </si>
  <si>
    <t>65.</t>
  </si>
  <si>
    <t>г. Димитровград,                                       ул. Комсомольская,  д. 91</t>
  </si>
  <si>
    <t>15/13</t>
  </si>
  <si>
    <t>Итого по муниципальному образованию            «город Новоульяновск»</t>
  </si>
  <si>
    <t>66.</t>
  </si>
  <si>
    <t>г. Новоульяновск,                                   пер. Коммунаров, д. 9</t>
  </si>
  <si>
    <t>67.</t>
  </si>
  <si>
    <t>г. Новоульяновск,                                    пер. Коммунаров, д. 13</t>
  </si>
  <si>
    <t>68.</t>
  </si>
  <si>
    <t>г. Новоульяновск, ул. Волжская,                 д. 32</t>
  </si>
  <si>
    <t>69.</t>
  </si>
  <si>
    <t>г. Новоульяновск, ул. Ленина,                 д. 16/25</t>
  </si>
  <si>
    <t>70.</t>
  </si>
  <si>
    <t>г. Новоульяновск, ул. Ульяновская, д. 10</t>
  </si>
  <si>
    <t xml:space="preserve">Итого по муниципальному образованию
«город Ульяновск» </t>
  </si>
  <si>
    <t>71.</t>
  </si>
  <si>
    <t>72.</t>
  </si>
  <si>
    <t>г. Ульяновск, ул. Стасова, д. 5</t>
  </si>
  <si>
    <t>73.</t>
  </si>
  <si>
    <t>г. Ульяновск, ул. Маяковского, д. 12</t>
  </si>
  <si>
    <t>Итого по этапу 2022 года с финансовой поддержкой Фонда:</t>
  </si>
  <si>
    <t>74.</t>
  </si>
  <si>
    <t>р.п. Языково, ул. Благова, д. 5</t>
  </si>
  <si>
    <t>35</t>
  </si>
  <si>
    <t>75.</t>
  </si>
  <si>
    <t>р.п. Языково, ул. Благова, д. 6</t>
  </si>
  <si>
    <t>36</t>
  </si>
  <si>
    <t>76.</t>
  </si>
  <si>
    <t>р.п. Языково, ул. Гагарина, д. 13</t>
  </si>
  <si>
    <t>31</t>
  </si>
  <si>
    <t>77.</t>
  </si>
  <si>
    <t>р.п. Языково, ул. Гагарина, д. 31</t>
  </si>
  <si>
    <t>33</t>
  </si>
  <si>
    <t>78.</t>
  </si>
  <si>
    <t>р.п. Языково, ул. Гагарина, д. 33</t>
  </si>
  <si>
    <t>34</t>
  </si>
  <si>
    <t>79.</t>
  </si>
  <si>
    <t>р.п. Языково, ул. Клубная, д. 10</t>
  </si>
  <si>
    <t>13</t>
  </si>
  <si>
    <t>80.</t>
  </si>
  <si>
    <t>р.п. Языково, ул. Клубная, д. 11</t>
  </si>
  <si>
    <t>17</t>
  </si>
  <si>
    <t>81.</t>
  </si>
  <si>
    <t>р.п. Языково, ул. Красный Текстильщик, д. 3</t>
  </si>
  <si>
    <t>8</t>
  </si>
  <si>
    <t>82.</t>
  </si>
  <si>
    <t>р.п. Ишеевка, ул. Луговая, д. 5</t>
  </si>
  <si>
    <t>83.</t>
  </si>
  <si>
    <t>р.п. Ишеевка, ул. Луговая, д. 7</t>
  </si>
  <si>
    <t>74</t>
  </si>
  <si>
    <t>84.</t>
  </si>
  <si>
    <t>р.п. Ишеевка, ул. Луговая, д. 26</t>
  </si>
  <si>
    <t>85.</t>
  </si>
  <si>
    <t>д. Салмановка, ул. Дружбы, д. 1а</t>
  </si>
  <si>
    <t>Итого по муниципальному 
образованию «город Димитровград»</t>
  </si>
  <si>
    <t>86.</t>
  </si>
  <si>
    <t>г. Димитровград, ул. Бурцева,            д. 12</t>
  </si>
  <si>
    <t>23/13</t>
  </si>
  <si>
    <t>87.</t>
  </si>
  <si>
    <t>г. Димитровград, ул. Власть Труда, д. 29</t>
  </si>
  <si>
    <t>02/13</t>
  </si>
  <si>
    <t>88.</t>
  </si>
  <si>
    <t>г. Димитровград,                                       ул. Тухачевского,  д. 146</t>
  </si>
  <si>
    <t>05/13</t>
  </si>
  <si>
    <t>89.</t>
  </si>
  <si>
    <t>г. Димитровград, ул. Победы, д. 1</t>
  </si>
  <si>
    <t>17/13</t>
  </si>
  <si>
    <t>90.</t>
  </si>
  <si>
    <t>г. Димитровград, ул. Победы, д. 3</t>
  </si>
  <si>
    <t>16/13</t>
  </si>
  <si>
    <t>91.</t>
  </si>
  <si>
    <t>г. Димитровград, ул. Самарская,                 д. 16</t>
  </si>
  <si>
    <t>67/12</t>
  </si>
  <si>
    <t>92.</t>
  </si>
  <si>
    <t>г. Димитровград, ул. Матросова,             д. 4</t>
  </si>
  <si>
    <t>06/13</t>
  </si>
  <si>
    <t>Итого по этапу 2023 года с финансовой поддержкой Фонда:</t>
  </si>
  <si>
    <t>IV кв. 2026 г.</t>
  </si>
  <si>
    <t>118.</t>
  </si>
  <si>
    <t>г. Димитровград, ул. Власть Труда, д. 31</t>
  </si>
  <si>
    <t>02/15</t>
  </si>
  <si>
    <t>119.</t>
  </si>
  <si>
    <t>г. Димитровград, ул. Власть Труда, д. 45</t>
  </si>
  <si>
    <t>10/14</t>
  </si>
  <si>
    <t>120.</t>
  </si>
  <si>
    <t>г. Димитровград, ул. Гагарина,                д. 58</t>
  </si>
  <si>
    <t>03/15</t>
  </si>
  <si>
    <t>ПРИЛОЖЕНИЕ №2</t>
  </si>
  <si>
    <t>к постановлению</t>
  </si>
  <si>
    <t>Администрации  города</t>
  </si>
  <si>
    <t xml:space="preserve">от ________ № _______ </t>
  </si>
  <si>
    <t>к муниципальной программе «Переселение граждан, проживающих на территории города Димитровграда Ульяновской области,  из многоквартирных домов, признанных аварийными после 1 января 2012 года»</t>
  </si>
  <si>
    <t>ПЛАН</t>
  </si>
  <si>
    <t>РЕАЛИЗАЦИИ МЕРОПРИЯТИЙ ПО ПЕРЕСЕЛЕНИЮ ГРАЖДАН ИЗ АВАРИЙНОГО</t>
  </si>
  <si>
    <t>ЖИЛИЩНОГО ФОНДА, ПРИЗНАННОГО ТАКОВЫМ ДО 1 ЯНВАРЯ 2017 ГОДА,</t>
  </si>
  <si>
    <t>ПО СПОСОБАМ ПЕРЕСЕЛЕНИЯ</t>
  </si>
  <si>
    <r>
      <t xml:space="preserve"> </t>
    </r>
    <r>
      <rPr>
        <sz val="11"/>
        <color indexed="8"/>
        <rFont val="Times New Roman"/>
        <family val="1"/>
        <charset val="204"/>
      </rPr>
      <t>(</t>
    </r>
    <r>
      <rPr>
        <sz val="10"/>
        <color indexed="8"/>
        <rFont val="Times New Roman"/>
        <family val="1"/>
        <charset val="204"/>
      </rPr>
      <t>согласно Постановлению Правительства Ульяновской области от 28.03.2019 №131-П)</t>
    </r>
  </si>
  <si>
    <t>Этапы реализации программы</t>
  </si>
  <si>
    <t>Расселяемая площадь жилых помещений, всего</t>
  </si>
  <si>
    <t>Расселение программы не связанное с приобретением и связанное с приобретением жилых помещений без использования бюджетных средств</t>
  </si>
  <si>
    <t>Расселение в рамках программы, связанное с приобретением жилых помещений за счет бюджетных средств</t>
  </si>
  <si>
    <t>всего:</t>
  </si>
  <si>
    <t>в том числе:</t>
  </si>
  <si>
    <t>выкуп жилых помещений у собственников</t>
  </si>
  <si>
    <t>договор о развитии застроенной территории</t>
  </si>
  <si>
    <t>переселение в свободный жилищный фонд</t>
  </si>
  <si>
    <t>строительство домов</t>
  </si>
  <si>
    <t>приобретение жилых помещений у застройщиков, в т.ч.:</t>
  </si>
  <si>
    <t>в строящихся домах</t>
  </si>
  <si>
    <t>в домах, введенных в эксплуатацию</t>
  </si>
  <si>
    <t>расселяемая площадь</t>
  </si>
  <si>
    <t>стоимость</t>
  </si>
  <si>
    <t>приобретаемая площадь</t>
  </si>
  <si>
    <t>Всего по мероприятиям переселения граждан из аварийного жилищного фонда, признанного таковым до 01 января 2017 года, в том числе:</t>
  </si>
  <si>
    <t>Всего по этапу 2020 года:</t>
  </si>
  <si>
    <t>Всего по этапу 2021 года:</t>
  </si>
  <si>
    <t>Всего по этапу 2022 года:</t>
  </si>
  <si>
    <t>ПРИЛОЖЕНИЕ №3</t>
  </si>
  <si>
    <t>ПЛАНИРУЕМЫЕ ПОКАЗАТЕЛИ</t>
  </si>
  <si>
    <t>ПЕРЕСЕЛЕНИЯ ГРАЖДАН ИЗ АВАРИЙНОГО ЖИЛИЩНОГО ФОНДА</t>
  </si>
  <si>
    <t>(согласно Постановлению Правительства Ульяновской области  от 21.11.2017 № 573-П)</t>
  </si>
  <si>
    <t>(согласно Постановлению Правительства Ульяновской области от 28.03.2019 №131-П)</t>
  </si>
  <si>
    <t>Расселяемая площадь</t>
  </si>
  <si>
    <t>Количество переселенных жителей</t>
  </si>
  <si>
    <t>2020 г.</t>
  </si>
  <si>
    <t>2021 г.</t>
  </si>
  <si>
    <t>2022 г.</t>
  </si>
  <si>
    <t>2023 г.</t>
  </si>
  <si>
    <t>2024 г.</t>
  </si>
  <si>
    <t>2025 г.</t>
  </si>
  <si>
    <t>2026 г.</t>
  </si>
  <si>
    <t>2027 г.</t>
  </si>
  <si>
    <t>2027 г</t>
  </si>
  <si>
    <t>Всего по аварийным многоквартирным домам, признанным таковыми до 01 января 2017 года, в том числе:</t>
  </si>
  <si>
    <t>Всего по аварийным многоквартирным домам, признанным  таковыми после 01 января 2017 года, в том числе:</t>
  </si>
  <si>
    <t>Итого по программе</t>
  </si>
  <si>
    <t>ПЕРЕЧЕНЬ</t>
  </si>
  <si>
    <t>МНОГОКВАРТИРНЫХ ДОМОВ, ПРИЗНАННЫХ В УСТАНОВЛЕННОМ ПОРЯДКЕ</t>
  </si>
  <si>
    <t>АВАРИЙНЫМИ ДО 1 ЯНВАРЯ 2017 ГОДА</t>
  </si>
  <si>
    <t>Адрес многоквартирного дома</t>
  </si>
  <si>
    <t>Документ, подтверждающий признание многоквартирного дома аварийным</t>
  </si>
  <si>
    <t>Планируемая дата окончания переселения (квартал, год)</t>
  </si>
  <si>
    <t>Планируемая дата сноса многоквартирного дома (квартал, год)</t>
  </si>
  <si>
    <t>Число жителей, планируемых к переселению</t>
  </si>
  <si>
    <t>Общая площадь жилых помещений многоквартирного дома</t>
  </si>
  <si>
    <t>Количество расселяемых жилых помещений</t>
  </si>
  <si>
    <t>Стоимость переселения граждан, тыс.руб.</t>
  </si>
  <si>
    <t>Стоимость сноса, тыс. руб.</t>
  </si>
  <si>
    <t>общий объем финансирования, в том числе:</t>
  </si>
  <si>
    <t>за счет средств государственной корпорации - Фонда содействия реформированию жилищно-коммунального хозяйства (далее - Фонд)</t>
  </si>
  <si>
    <t>за счет средств консолидированного бюджета Ульяновской области на долевое финансирование</t>
  </si>
  <si>
    <t>за счет внебюджетных средств</t>
  </si>
  <si>
    <t>частная собственность</t>
  </si>
  <si>
    <t>муниципальная собственность</t>
  </si>
  <si>
    <t>за счет средств областного бюджета Ульяновской области</t>
  </si>
  <si>
    <t>за счет предполагаемых средств бюджета города Димитровграда Ульяновской области</t>
  </si>
  <si>
    <t>-</t>
  </si>
  <si>
    <t>г. Димитровград, ул. Вокзальная, д. 40</t>
  </si>
  <si>
    <t>г. Димитровград, ул. Парковая, д. 8</t>
  </si>
  <si>
    <t>г. Димитровград, ул. Парковая, д. 9</t>
  </si>
  <si>
    <t>г. Димитровград, ул. Бурцева, д. 12</t>
  </si>
  <si>
    <t>г. Димитровград, ул. Тухачевского, д. 146</t>
  </si>
  <si>
    <t>г. Димитровград, ул. Самарская, д. 16</t>
  </si>
  <si>
    <t>г. Димитровград, ул. Гагарина, д. 58</t>
  </si>
  <si>
    <t>г. Димитровград, ул. Комсомольская, д. 91</t>
  </si>
  <si>
    <t>г. Димитровград, ул. Матросова, д. 4</t>
  </si>
  <si>
    <t xml:space="preserve">   ПРИЛОЖЕНИЕ №5</t>
  </si>
  <si>
    <t>АВАРИЙНЫМИ ПОСЛЕ 1 ЯНВАРЯ 2017 ГОДА</t>
  </si>
  <si>
    <t>Число жителей, всего</t>
  </si>
  <si>
    <t>Общая площадь жилых</t>
  </si>
  <si>
    <t>Стоимость сноса</t>
  </si>
  <si>
    <t xml:space="preserve">всего, в том числе:                     </t>
  </si>
  <si>
    <t>Всего по аварийным многоквартирным домам, признанным таковыми после 01 января 2017 года, в том числе</t>
  </si>
  <si>
    <t>IV кв. 2027 г.</t>
  </si>
  <si>
    <t>*</t>
  </si>
  <si>
    <t>г. Димитровград, ул. Власть Труда, д. 23</t>
  </si>
  <si>
    <t>г. Димитровград, ул. Власть Труда, д. 37</t>
  </si>
  <si>
    <t>г. Димитровград, ул. Власть Труда, д. 43</t>
  </si>
  <si>
    <t>г. Димитровград, ул. Комсомольская, д. 123</t>
  </si>
  <si>
    <t>г. Димитровград, ул. Хмельницкого, д. 74</t>
  </si>
  <si>
    <t>*размер стоимости сноса подлежит уточнению после запроса коммерческий предложений от подрядчиков, путем подсчета среднерыночной стоимости.</t>
  </si>
  <si>
    <t>Система программных мероприятий</t>
  </si>
  <si>
    <t>Наименование мероприятий</t>
  </si>
  <si>
    <t>Ответственный исполнитель</t>
  </si>
  <si>
    <t>Бюджетные ассигнования бюджета города**</t>
  </si>
  <si>
    <t>Бюджетные ассигнования областного бюджета</t>
  </si>
  <si>
    <t>Бюджетные ассигнования федерального бюджета</t>
  </si>
  <si>
    <t>ИТОГО</t>
  </si>
  <si>
    <t>Финансовое обеспечение всего</t>
  </si>
  <si>
    <t>по этапам реализации (тыс.руб.)</t>
  </si>
  <si>
    <t>2028*</t>
  </si>
  <si>
    <t>2023***</t>
  </si>
  <si>
    <t>2025***</t>
  </si>
  <si>
    <t>2027***</t>
  </si>
  <si>
    <t>2022***</t>
  </si>
  <si>
    <t>Приобретение жилых помещений для переселения граждан из аварийного жилищного фонда</t>
  </si>
  <si>
    <t>ИТОГО по мероприятию:</t>
  </si>
  <si>
    <t>ИТОГО по муниципальной программе:</t>
  </si>
  <si>
    <t>* данные подлежат уточнению после получения актуальных сметных расчетов Комитета по жилищно-коммунальному комплексу на снос жилых домов.</t>
  </si>
  <si>
    <r>
      <t>** выделение денежных средств из бюджета города на программные мероприятия в обозначенных объемах позволит привлечь денежные средства из вышестоящих бюджетов в установленных объемах.</t>
    </r>
    <r>
      <rPr>
        <sz val="7.5"/>
        <color indexed="8"/>
        <rFont val="Times New Roman"/>
        <family val="1"/>
        <charset val="204"/>
      </rPr>
      <t xml:space="preserve"> Необходимый объем софинансирования мероприятий из городского бюджета указан как справочная информация и не устанавливает расходные обязательства данного бюджета</t>
    </r>
  </si>
  <si>
    <t>*** средства областного и федерального бюджетов указываются в виде межбюджетных трансфертов (субсидий, субвенций и иных межбюджетных трансфертов) возможных к получению на реализацию мероприятий муниципальной программы.</t>
  </si>
  <si>
    <r>
      <t xml:space="preserve">приобретение жилых помещений у лиц, не </t>
    </r>
    <r>
      <rPr>
        <sz val="8"/>
        <color indexed="8"/>
        <rFont val="Times New Roman"/>
        <family val="1"/>
        <charset val="204"/>
      </rPr>
      <t>являющихся застройщиками</t>
    </r>
  </si>
  <si>
    <t xml:space="preserve"> № п/п</t>
  </si>
  <si>
    <t>1.1</t>
  </si>
  <si>
    <t>1.2</t>
  </si>
  <si>
    <t>1.3</t>
  </si>
  <si>
    <t>2.1</t>
  </si>
  <si>
    <t>2.2</t>
  </si>
  <si>
    <t>г. Димитровград, ул. 9 Линия, д. 27 (снос)</t>
  </si>
  <si>
    <t xml:space="preserve">за счет средств областного бюджета Ульяновской области </t>
  </si>
  <si>
    <t xml:space="preserve">за счет средств консолидированного бюджета Ульяновской области </t>
  </si>
  <si>
    <t>кв.м</t>
  </si>
  <si>
    <t>Планируемая дата  окончания переселения (квартал,год)</t>
  </si>
  <si>
    <t>Планируемая дата сноса многоквартирного дома (квартал,год)</t>
  </si>
  <si>
    <t>Стоимость переселения граждан</t>
  </si>
  <si>
    <t>1.1.</t>
  </si>
  <si>
    <t>2.1.</t>
  </si>
  <si>
    <t>3.1.</t>
  </si>
  <si>
    <t>г. Димитровград, ул. Ангарская, д.1 (снос)</t>
  </si>
  <si>
    <t>Сведения о собственниках (нанимателях) жилых помещений в многоквартирных домах, которые признаны аварийными в установленном порядке после 01 января 2012 года</t>
  </si>
  <si>
    <t>По этапу переселения 2021 год</t>
  </si>
  <si>
    <t>по дате регистр собств</t>
  </si>
  <si>
    <t>оформлено согласие</t>
  </si>
  <si>
    <t>Число жителей зарегистрированных в МКД</t>
  </si>
  <si>
    <t>количество комнат</t>
  </si>
  <si>
    <t xml:space="preserve"> Площадь помещений в аварийном жилье, кв.м.</t>
  </si>
  <si>
    <t>в муниципальной собственности, кв.м.</t>
  </si>
  <si>
    <t>в частной собственности, кв.м.</t>
  </si>
  <si>
    <t>Способ переселения</t>
  </si>
  <si>
    <t>Площадь по Мун контракту</t>
  </si>
  <si>
    <t>номер квартиры</t>
  </si>
  <si>
    <t>ФИО граждан, Адрес МКД</t>
  </si>
  <si>
    <t>купили</t>
  </si>
  <si>
    <t>Выкуп</t>
  </si>
  <si>
    <t>Приобретение жилых помещений</t>
  </si>
  <si>
    <t xml:space="preserve">док </t>
  </si>
  <si>
    <t xml:space="preserve">наличие жилья </t>
  </si>
  <si>
    <t>ул. Бурцева, 6  21.11.12</t>
  </si>
  <si>
    <t xml:space="preserve"> 21.11.12</t>
  </si>
  <si>
    <t>Шумилин Мазгут Рустамович</t>
  </si>
  <si>
    <t>2к-4кв</t>
  </si>
  <si>
    <t>13.02.06</t>
  </si>
  <si>
    <t>Сарафанникова Алеся Алексеевна 119/1000, Сарафанников Сергей Сергеевич 119/1000, Хайрулин Айрат Ильнарович 2/1000</t>
  </si>
  <si>
    <t>1к-8кв</t>
  </si>
  <si>
    <t>хайруллин жилье</t>
  </si>
  <si>
    <t>21.12.11</t>
  </si>
  <si>
    <t>хайруллин жилое мулловка дачная 1-3</t>
  </si>
  <si>
    <t>Мосевина Наталья Николаевна</t>
  </si>
  <si>
    <t>1992</t>
  </si>
  <si>
    <t>Королева Татьяна Николаевна</t>
  </si>
  <si>
    <t>2000</t>
  </si>
  <si>
    <t>Чавкина Елена Ивановна</t>
  </si>
  <si>
    <t>03.08.00</t>
  </si>
  <si>
    <t>09.09.00</t>
  </si>
  <si>
    <t>Филмонова Валентина Павловна/ НАСТИНА</t>
  </si>
  <si>
    <t>24.05.2018</t>
  </si>
  <si>
    <t>12.05.2016</t>
  </si>
  <si>
    <t>Ишмаева Елена Владимировна</t>
  </si>
  <si>
    <t>19.05.11</t>
  </si>
  <si>
    <t>жилое дрогобыч 69-51</t>
  </si>
  <si>
    <t>Еруков Сергей Владимирович 362/4000,Еруков Никита Владимирович 362/4000, Ерукова Анна Евгеньевна 362/4000, Ерукова Вера Ивановна 362/4000</t>
  </si>
  <si>
    <t>10.04.12</t>
  </si>
  <si>
    <t>еруков сергей ерукова вера  жилое красноармейская 25-5</t>
  </si>
  <si>
    <t>Улейкина Анна Николаевна</t>
  </si>
  <si>
    <t>09.09.2006</t>
  </si>
  <si>
    <t>Сапожникова Наталья Николаевна 225/1000, Сапожнгикова Надежда Дмитриевна224/1000, Шайдуллова Светлана Ирековна224/1000</t>
  </si>
  <si>
    <t>11.04.13</t>
  </si>
  <si>
    <t>ул. Власть Труда, 21   09.07.12</t>
  </si>
  <si>
    <t>09.07.12</t>
  </si>
  <si>
    <t>Щучкина Наталья Владимировна 1/3, Щучкин Владислав Алексеевич 1/3, Щучкин Даниил Алексеевич 1/3</t>
  </si>
  <si>
    <t>28.10.11</t>
  </si>
  <si>
    <t>Спирина Елена Владимировна2/5, 1/5, Праведникова Виктория Алексеевна 1/5, Праведников Александр Алексеевич  1/5</t>
  </si>
  <si>
    <t>21.01.2015 02.05.2012 02.05.2012 02.05.2012</t>
  </si>
  <si>
    <t>ФиленкоХалимя Вильдановна</t>
  </si>
  <si>
    <t>Салагаев Юрий Васильевич 627/1000 Савко Валентина Юрьевн ,173/1000, Савко Даниил Алексеевич 100/1000, Савко Денис Алексеевич 100-1000</t>
  </si>
  <si>
    <t>суд</t>
  </si>
  <si>
    <t>627/1000   173/1000 100/1000  100/999</t>
  </si>
  <si>
    <t>05.10.2018  06.05.2016 06.05.2016 06.05.2016</t>
  </si>
  <si>
    <t>ул. Вокзальная, 40     15.03.14</t>
  </si>
  <si>
    <t>15.03.14</t>
  </si>
  <si>
    <t>Рыжкова Людмила Михайловна</t>
  </si>
  <si>
    <t>27.03.12</t>
  </si>
  <si>
    <t>Пигальцев Михаил Ефимович</t>
  </si>
  <si>
    <t>01.09.04</t>
  </si>
  <si>
    <t>Волкова Наталья Владимировна, 1/3, Болотов Владимир Николаевич, 1/3, Болотов Николай Владимирович, 1/3</t>
  </si>
  <si>
    <t>03.06.09</t>
  </si>
  <si>
    <t>Петрова Елена Яшаровна</t>
  </si>
  <si>
    <t>07.10.18</t>
  </si>
  <si>
    <t>Алексеева Лидия Александровна</t>
  </si>
  <si>
    <t>03.04.19</t>
  </si>
  <si>
    <t>Трукова Анна Сергеевна</t>
  </si>
  <si>
    <t>28.04.2017</t>
  </si>
  <si>
    <t>Безрукова Марина Альбертовна</t>
  </si>
  <si>
    <t>07.02.08</t>
  </si>
  <si>
    <t>Сагдиева Рафиля Гайнединовна</t>
  </si>
  <si>
    <t>11.02.08</t>
  </si>
  <si>
    <t>Кисина Ирина Ивановна</t>
  </si>
  <si>
    <t>01.12.02</t>
  </si>
  <si>
    <t>ул.Парковая, 8                  07.12.12</t>
  </si>
  <si>
    <t xml:space="preserve"> 07.12.12</t>
  </si>
  <si>
    <t>Илюткина Наталья Владимировна</t>
  </si>
  <si>
    <t>29.09.06</t>
  </si>
  <si>
    <t>Боровкова Раиса Михайловна 1/4, Боровкова Галина Владимировна 1/4,Алексеева Надежда Михайловна 1/4</t>
  </si>
  <si>
    <t>10.10.2002</t>
  </si>
  <si>
    <t>Кочеткова Надежда Сергеевна</t>
  </si>
  <si>
    <t>53,2</t>
  </si>
  <si>
    <t>17.08.99</t>
  </si>
  <si>
    <t>Климанова Людмила Генадьевна 2/3, Климанова Ирина Сергеевна 1/3</t>
  </si>
  <si>
    <t>06.04.2004</t>
  </si>
  <si>
    <t>Гагарина Мария Дмитриевна</t>
  </si>
  <si>
    <t>08.07.15</t>
  </si>
  <si>
    <t>Выприцкая Александра Игоревна 110/1000, Выприцкая Елизавета Игоревна 100/1000 Набиев Илкин Рахман-оглы 100/1000, Набиев Тимур Илкин оглы 100/1000</t>
  </si>
  <si>
    <t>29.10.12</t>
  </si>
  <si>
    <t>Бурая Наталья Сергеевна</t>
  </si>
  <si>
    <t>07.05.2003</t>
  </si>
  <si>
    <t>ул. Парковая, 9    02.11.12</t>
  </si>
  <si>
    <t xml:space="preserve">Ивашкина Мария Терентьевна </t>
  </si>
  <si>
    <t>07.11.18</t>
  </si>
  <si>
    <t>Спиридонов Анатолий Яковлевич</t>
  </si>
  <si>
    <t>05.06.2000</t>
  </si>
  <si>
    <t>Антощишина Антонина Васильевна</t>
  </si>
  <si>
    <t>20.02.18</t>
  </si>
  <si>
    <t>Аристова Людмила Александровна</t>
  </si>
  <si>
    <t>Соколова Мария Николаевна 195/1000, Соколов Владислав Евгеньевич 194/1000</t>
  </si>
  <si>
    <t>31.03.2008</t>
  </si>
  <si>
    <t xml:space="preserve">Щукина Ольга Валерьевна </t>
  </si>
  <si>
    <t>итого по  2021 г.</t>
  </si>
  <si>
    <t>ул. Комсомольская, д.91        29.03.13</t>
  </si>
  <si>
    <t>29.03.13</t>
  </si>
  <si>
    <t>ФедоТов Виктор Петрович</t>
  </si>
  <si>
    <t>11.04.1995</t>
  </si>
  <si>
    <t>Березина Елена Александровна</t>
  </si>
  <si>
    <t>09.04.2013</t>
  </si>
  <si>
    <t>Потапова Татьяна Викторовна</t>
  </si>
  <si>
    <t>19.12.89</t>
  </si>
  <si>
    <t>ул. Бурцева, д.4                22. 01.14</t>
  </si>
  <si>
    <t xml:space="preserve"> 22. 01.14</t>
  </si>
  <si>
    <t>Деменков Владимир Федорович</t>
  </si>
  <si>
    <t>Зайнуллина Нурия Якуповна</t>
  </si>
  <si>
    <t>26,492</t>
  </si>
  <si>
    <t>05.10.20 05.10.20</t>
  </si>
  <si>
    <t>Казаков Алексей Владимирович</t>
  </si>
  <si>
    <t>19.02.15</t>
  </si>
  <si>
    <t>Юсупов Гаюдрашэт Абразакович 3000/10000, Федорова Марина Александровна 325/10000, Юсупова Галия Абразаковна 3325/10000</t>
  </si>
  <si>
    <t>18.09.2015 26.08.2013</t>
  </si>
  <si>
    <t>18.09.2015 05.07.2013</t>
  </si>
  <si>
    <t>Кольцова Ольга Сергеевна 83/1000, Кольцова Анна Саергеевна84/1000, Кольцов Степан Денисович 84/1000, Кольцов Денис Влдадимирович 84/1000</t>
  </si>
  <si>
    <t>18.03.13 24.07.12</t>
  </si>
  <si>
    <t>18.03.2012</t>
  </si>
  <si>
    <t>ольга жилое уральская 16</t>
  </si>
  <si>
    <t>Теплова Елена Евгеньевна 1/5, Теплоап Алина Владимировна 1/5, Теплов Владимир Александрович 1/5,Грудовой Игорь Дмитриевич 1/5, Грудовая Анастасия Александровна 1/5</t>
  </si>
  <si>
    <t>10,05,06</t>
  </si>
  <si>
    <t>10.05.2006</t>
  </si>
  <si>
    <t>Прыткова Нина Алексеевна</t>
  </si>
  <si>
    <t>08.04.08</t>
  </si>
  <si>
    <t>в 2021 году расселению подлежит 7 МКД,  46 квартир  общей площадью 1720,58кв.м  в которых проживают 131 человек. 1 ком-19 шт, 2 ком-14 шт, 3 ком-11 шт. 4 ком-2 шт.собственники -28 , нанимателти 18</t>
  </si>
  <si>
    <t>К приобретению 1 ком-______ шт, 2 ком-______ шт, 3 ком-______ шт. 4 ком-_____шт.</t>
  </si>
  <si>
    <t>Исп. Клементьева Ю.В.  (8-84235-48237)</t>
  </si>
  <si>
    <t>ул. Комсомольская, д.91</t>
  </si>
  <si>
    <r>
      <t xml:space="preserve">ул. Комсомольская, д.91 </t>
    </r>
    <r>
      <rPr>
        <sz val="16"/>
        <color indexed="8"/>
        <rFont val="Times New Roman"/>
        <family val="1"/>
        <charset val="204"/>
      </rPr>
      <t>от 29.03.2013 №15/13</t>
    </r>
  </si>
  <si>
    <t>квартира</t>
  </si>
  <si>
    <t>Федоров Виктор Петрович</t>
  </si>
  <si>
    <t>Итого по дому</t>
  </si>
  <si>
    <t>ул. Бурцева, д.4</t>
  </si>
  <si>
    <r>
      <t xml:space="preserve">ул. Бурцева, д.4 </t>
    </r>
    <r>
      <rPr>
        <sz val="20"/>
        <color indexed="8"/>
        <rFont val="Times New Roman"/>
        <family val="1"/>
        <charset val="204"/>
      </rPr>
      <t>от 22.01.2014 №04/14</t>
    </r>
  </si>
  <si>
    <t>коммуналка</t>
  </si>
  <si>
    <t>ВЫКУП</t>
  </si>
  <si>
    <t>М</t>
  </si>
  <si>
    <t>КОЛВО КВ</t>
  </si>
  <si>
    <t>ЛЮДИ</t>
  </si>
  <si>
    <t>МК</t>
  </si>
  <si>
    <t>МЕТРАЖ</t>
  </si>
  <si>
    <t>ЦЕНА</t>
  </si>
  <si>
    <t>СТОИМОСТЬ</t>
  </si>
  <si>
    <t>АДРЕС</t>
  </si>
  <si>
    <t>АЛТАЙСКАЯ 71</t>
  </si>
  <si>
    <t>МОСКОВСКАЯ 54-76</t>
  </si>
  <si>
    <t>9 ЛИНИЯ 24А-126</t>
  </si>
  <si>
    <t>ДИМИТРОВА 39-34</t>
  </si>
  <si>
    <t>ДИМИТРОВА 37А-30</t>
  </si>
  <si>
    <t>МАСЛЕННИКОВА 68-64</t>
  </si>
  <si>
    <t>50 ЛЕТ ОКТЯБРЯ 1А-30</t>
  </si>
  <si>
    <t>007/2022</t>
  </si>
  <si>
    <t>46-18-1</t>
  </si>
  <si>
    <t>КВАРТИР</t>
  </si>
  <si>
    <t>КОМНАТ 1</t>
  </si>
  <si>
    <t>КОМНАТ 2</t>
  </si>
  <si>
    <t>КОМНАТ 3</t>
  </si>
  <si>
    <t>КОМНАТ 4</t>
  </si>
  <si>
    <t>По этапу переселения 2023 год</t>
  </si>
  <si>
    <t>телефон</t>
  </si>
  <si>
    <t>ул. Власть Труда, д. 31 от 12.01.2015 02/15</t>
  </si>
  <si>
    <t>Березовский Евгений Анатольевич</t>
  </si>
  <si>
    <t>кв 89020061138</t>
  </si>
  <si>
    <t>Иванова Людмила Александровна</t>
  </si>
  <si>
    <t>89093597549/89539881576</t>
  </si>
  <si>
    <t>Крылова Татьяна Даниловна</t>
  </si>
  <si>
    <t>Полковников Алексей Владимирович</t>
  </si>
  <si>
    <t>ул. Влать Труда, 45 от 01.04.2014 №10/14</t>
  </si>
  <si>
    <t>Георгица Людмила степановна</t>
  </si>
  <si>
    <t>Тарасова Надежда Васильевна</t>
  </si>
  <si>
    <t>Осипов Николай Генадьевич</t>
  </si>
  <si>
    <t>Афанасьева Наталья Владимировна</t>
  </si>
  <si>
    <t>Первухина Ольга Николаевна</t>
  </si>
  <si>
    <t>Насибуллова Лейсян Ренатовна 1/4, Насибуллов Рафаэль Рафикович, 1/4, Насибуллова Роза Зиатдинова 1/4, Насибуллов Рафик Валиуллович 1/4</t>
  </si>
  <si>
    <t>ул. Гагарина, д.58 от 11.02.2015 №03/15</t>
  </si>
  <si>
    <t>Артемьева Надежда Борисовна</t>
  </si>
  <si>
    <t>Петухова Лидия Ивановна</t>
  </si>
  <si>
    <t>Давыдова Валентина Яковлевна 1/2, Давыдов Валерий Александрович 1/2</t>
  </si>
  <si>
    <t>кв89021252355/89084887809</t>
  </si>
  <si>
    <t>Хвостова Татьяна Ивановна</t>
  </si>
  <si>
    <t>Задорожный Владимир Сергеевич 1/2, Яруллов Наиль Нуруллович 1/2</t>
  </si>
  <si>
    <t>14.10.2014/13.01.2012</t>
  </si>
  <si>
    <t>/КВ89020033115</t>
  </si>
  <si>
    <t xml:space="preserve">Третьяков Александр Иванович 1/3, </t>
  </si>
  <si>
    <t>Уралева Надежда Александровна 2/3</t>
  </si>
  <si>
    <t>Полякова Любовь Ивановна</t>
  </si>
  <si>
    <t>Горюшина Валентина Александровна</t>
  </si>
  <si>
    <t>89278017365/89041874917</t>
  </si>
  <si>
    <t>Кузнецов Иван Николаевич</t>
  </si>
  <si>
    <t>кв 89278308829</t>
  </si>
  <si>
    <t>КВ 89021218180</t>
  </si>
  <si>
    <t>Хамидуллова Роза Юнусовна 1/2, Хамидуллов Ильнар Ревхатович1/2</t>
  </si>
  <si>
    <t>кв89997692245/89278285229</t>
  </si>
  <si>
    <t>итого по  2023 г.</t>
  </si>
  <si>
    <t>в 2023 году расселению подлежит 3 МКД,  22 квартир  общей площадью 714,84 кв.м  в которых проживают 77 человек. 1 ком-13 шт, 2 ком-7 шт, 3 ком-2 шт. собственники -15 , нанимателти 7</t>
  </si>
  <si>
    <t xml:space="preserve">ЧЕЛ </t>
  </si>
  <si>
    <t xml:space="preserve">КВ </t>
  </si>
  <si>
    <t>МЕТР</t>
  </si>
  <si>
    <t>По этапу переселения 2022 год</t>
  </si>
  <si>
    <t>дата регистрации</t>
  </si>
  <si>
    <t>ул. Бурцева,д. 12 от 24.07.2013 №23/13</t>
  </si>
  <si>
    <t>Тишина Любовь Михайловна</t>
  </si>
  <si>
    <t xml:space="preserve">Пепенова Наталья Анатольевна </t>
  </si>
  <si>
    <t>кв 89626366861</t>
  </si>
  <si>
    <t>Егординова Лариса  Николаевна 1/2 , Егординов Алексей Васильевич 1/2</t>
  </si>
  <si>
    <t xml:space="preserve">Давыдова Тамара Александровна </t>
  </si>
  <si>
    <t>Попихина Ирина Валерьевна</t>
  </si>
  <si>
    <t>Бурова Светлана Алексеевна</t>
  </si>
  <si>
    <t xml:space="preserve">Бугряшов Валерий Владимирович </t>
  </si>
  <si>
    <t>Попихина Екатерина Алексеевна 326/1000, Попихина Ирина Николаевна327/1000</t>
  </si>
  <si>
    <t>Бакшутова Любовь Федоровна</t>
  </si>
  <si>
    <t>ул. Власть Труда, 29 от 23.01.2013 №02/13</t>
  </si>
  <si>
    <t>Расщупкина Нина Дмитриевна</t>
  </si>
  <si>
    <t>Маврина Светлана Анатольевна</t>
  </si>
  <si>
    <t>Рыжков Ольга Викторовна</t>
  </si>
  <si>
    <t>Тужилин Алексей Владимирович</t>
  </si>
  <si>
    <t>Тоймушина Вера Михайловна</t>
  </si>
  <si>
    <t>Гриненко Таниля Бариевна</t>
  </si>
  <si>
    <t>Полежаева Анжелика Валерьевна 231/4000, Полежаева Милена Альбертовна 231/4000, Минибаев Руслан Альбертович 231/4000, Минибаев Реваль Альбертович 231/4000</t>
  </si>
  <si>
    <t>03.09.2014/четверо</t>
  </si>
  <si>
    <t>Моисеева Елена Александровна</t>
  </si>
  <si>
    <t xml:space="preserve">Лагунова Ольга Юрьевна </t>
  </si>
  <si>
    <t>Гайнуллин Фаттах Фахатович</t>
  </si>
  <si>
    <t>Владимиркина Анна Александровна</t>
  </si>
  <si>
    <t>Мясогутова Татьяна Евгеньевна</t>
  </si>
  <si>
    <t xml:space="preserve">Кондратьева Татьяна Анатольевна </t>
  </si>
  <si>
    <t>Пеминова Валентина Ивановна</t>
  </si>
  <si>
    <t>Матюшкин Генадий Кузмич</t>
  </si>
  <si>
    <t>ул. Тухачевского, д. 146 от 06.02.2013 №05/13</t>
  </si>
  <si>
    <t>Тарасова Людмила Федоровна 89023576042 Тарасов Сергей Викторович</t>
  </si>
  <si>
    <t>Самедова Галия Ханифовна</t>
  </si>
  <si>
    <t>Семенов Андрей Евгеньевич</t>
  </si>
  <si>
    <t>кв 89603765110</t>
  </si>
  <si>
    <t>Калмыков Роман Владимирович</t>
  </si>
  <si>
    <t>Доронина Ирина Владимировна 1/2, Доронина Анастасия Петровна 1/2</t>
  </si>
  <si>
    <t>кв 89854658351</t>
  </si>
  <si>
    <t>ул. Победы, д.1 от 10.04.2013 № 17/13</t>
  </si>
  <si>
    <t>Шатохин Лилия Миниахмятовна</t>
  </si>
  <si>
    <t>Гинятуллова Дина Тимофеевна</t>
  </si>
  <si>
    <t>Кондрашова Нина Васильевна</t>
  </si>
  <si>
    <t>Алькеева Зоя Николаевна</t>
  </si>
  <si>
    <t>Киселева Нина Михайловна</t>
  </si>
  <si>
    <t>Кытманова Нина Федоровна</t>
  </si>
  <si>
    <t>Глухов Александр Евгеньевич</t>
  </si>
  <si>
    <t>Миронов Виктор Александрович</t>
  </si>
  <si>
    <t>Терентьева Татьяна Валентиновна</t>
  </si>
  <si>
    <t>Исаев Александр Иванович</t>
  </si>
  <si>
    <t>Сорокина Татьяна Владимировна</t>
  </si>
  <si>
    <t>Абрамова Анжелика Юрьевна</t>
  </si>
  <si>
    <t>ул. Победы, д 3  от 09.04.2013 №16/13</t>
  </si>
  <si>
    <t>Абдурахманова Вера Михайловна</t>
  </si>
  <si>
    <t>наумова елена гурьевна 89051835140/89020060129</t>
  </si>
  <si>
    <t>Приходько Лариса Петровна</t>
  </si>
  <si>
    <t>Салимов Бахтиёр Иркинович</t>
  </si>
  <si>
    <t>Модакалова Дарья Вячеславовна</t>
  </si>
  <si>
    <t>Кузнецова Надежда Григорьевна</t>
  </si>
  <si>
    <t>Мусина Сания Кадыровна 1/2, Сергутин Анатолий Петрович 1/2</t>
  </si>
  <si>
    <t>Кузнецова ольга Викторовна 1/10, Кузнецов Александр Владимирович 1/10 Казынбаев Никита Сергеевич 1/10,1/10, Кузнецов Даниил Александрович 1/, 2/10,  Кузнецова Валерия Александровна 1/10, 2/10</t>
  </si>
  <si>
    <t>25.10.2013/20.04.2011</t>
  </si>
  <si>
    <t>Лукьянов Алексей Владимирович</t>
  </si>
  <si>
    <t>Кочергина Галина Вениаминовна</t>
  </si>
  <si>
    <t xml:space="preserve">Клюева Ольга Владимировна, 1/3, Клюев ВикторОлеговия, 2/3, </t>
  </si>
  <si>
    <t>28.01.2010/2020</t>
  </si>
  <si>
    <t>деньги 89020094512</t>
  </si>
  <si>
    <t>Сидорочева Татьяна Александровна</t>
  </si>
  <si>
    <t>деньги 89176164869</t>
  </si>
  <si>
    <t>Сухоруков Александр Владимирович</t>
  </si>
  <si>
    <t>Ксенофонтова Лидия Михайловна</t>
  </si>
  <si>
    <t>кв 89278123333</t>
  </si>
  <si>
    <t>Кехер Зинаида Ильинична</t>
  </si>
  <si>
    <t>деньги 89021259098</t>
  </si>
  <si>
    <t>Крюкова Галина Михайловна</t>
  </si>
  <si>
    <t>Анненков Владимир Викторович 1/2, Анненков Сергей Владимирович 1/2</t>
  </si>
  <si>
    <t>Ул. Матросова, д.4 от 30.01.2013 №06/13</t>
  </si>
  <si>
    <t>Фомичев Александр Владимирович</t>
  </si>
  <si>
    <t>пустующая???????</t>
  </si>
  <si>
    <t>Аряпова Светлана Станиславовна90/1000, Аряпова Диана Жавдатовна, 89/1000Аряпова Алина Жавдатовна 90/1000</t>
  </si>
  <si>
    <t>кв. 89648559410</t>
  </si>
  <si>
    <t>Кальницкая Оксана Генадьевна</t>
  </si>
  <si>
    <t>ул. Самарская, д. 16 от 04.12.2012 67/12</t>
  </si>
  <si>
    <t>Картушова Светлана Николаевна</t>
  </si>
  <si>
    <t>Палага Любовь Михайловна</t>
  </si>
  <si>
    <t>Николаева Галина Сергеевна</t>
  </si>
  <si>
    <t>итого по  2022 г.</t>
  </si>
  <si>
    <t>в 2022 году расселению подлежит 7 МКД,  63 квартиры  общей площадью 1894,10 кв.м  в которых проживают 167 человек. 1 ком-36 шт, 2 ком-27 шт, собственники -34 , нанимателти -29</t>
  </si>
  <si>
    <t>Поставщик №1</t>
  </si>
  <si>
    <t>Поставщик №2</t>
  </si>
  <si>
    <t>Поставщик №3</t>
  </si>
  <si>
    <t>Наименование услуги</t>
  </si>
  <si>
    <t> Итого</t>
  </si>
  <si>
    <t>Цена услуги за 1 квартиру</t>
  </si>
  <si>
    <t>Средняя стоимость услуги руб.</t>
  </si>
  <si>
    <t>Количество квартир</t>
  </si>
  <si>
    <t>Стоимость</t>
  </si>
  <si>
    <t xml:space="preserve">     Расчет услуг по оценке  рыночной стоимости жилых помещений (квартир) </t>
  </si>
  <si>
    <t>Услуга по определению рыночной стоимости жилых помещений (квартир) по этапу 2021 года</t>
  </si>
  <si>
    <t>Услуга по определению рыночной стоимости жилых помещений (квартир) по этапу 2022 года</t>
  </si>
  <si>
    <t>Услуга по определению рыночной стоимости жилых помещений (квартир) по этапу 2023 года</t>
  </si>
  <si>
    <t>Всего</t>
  </si>
  <si>
    <t>Расходы по оценке рыночной стоимости жилых помещений, для выплаты возмещения за жилое помещение , тыс. руб.</t>
  </si>
  <si>
    <t>4.1.</t>
  </si>
  <si>
    <t>Комитет по имуществу Городав</t>
  </si>
  <si>
    <t>Дата печати: 03.11.2020</t>
  </si>
  <si>
    <t xml:space="preserve">В рамках областной адресной программы «Переселение граждан, проживающих на территории Ульяновской области, из многоквартирных домов, признанных до 1 января 2017 года аварийными и подлежащими сносу или реконструкции в связи с физическим износом в процессе их эксплуатации, в 2019-2025 годах» (далее - областная адресная программа) утвержденной постановлением Правительства Ульяновской области от 28.03.2019 № 131-П, </t>
  </si>
  <si>
    <t>Единица измерения руб.</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</si>
  <si>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жилищного строительства</t>
  </si>
  <si>
    <t xml:space="preserve">Ассигнования 2021 год по программе </t>
  </si>
  <si>
    <t>Ассигнования 2022 год по прогграмме</t>
  </si>
  <si>
    <t xml:space="preserve">Ассигнования 2023 год  по программе </t>
  </si>
  <si>
    <t>ИТОГО:</t>
  </si>
  <si>
    <t>средства Фонда содействия реформированию жилищно-коммунального хозяйства</t>
  </si>
  <si>
    <t>средства областного бюджета Ульяновской области</t>
  </si>
  <si>
    <t>средства бюджета города Димитровграда Ульяновской области</t>
  </si>
  <si>
    <t>Ассигнования 2022 год по 131 п</t>
  </si>
  <si>
    <t>Ассигнования 2023 год по 131 п</t>
  </si>
  <si>
    <t>Ассигнования 2021 год по 131 п</t>
  </si>
  <si>
    <t>руб</t>
  </si>
  <si>
    <t>т.р.</t>
  </si>
  <si>
    <t>Разница</t>
  </si>
  <si>
    <t>г. Димитровград, ул. 3 Интернационала,  д.68</t>
  </si>
  <si>
    <t>г. Димитровград, ул. Бурцева, д. 2</t>
  </si>
  <si>
    <t>г. Димитровград, ул. Комсомольская, д. 40</t>
  </si>
  <si>
    <t>г. Димитровград, ул. Куйбышева, д. 155</t>
  </si>
  <si>
    <t>г. Димитровград, ул. Пушкина, д. 77</t>
  </si>
  <si>
    <t>г. Димитровград, ул. Серебрякова, д. 67</t>
  </si>
  <si>
    <t>1. Основное мероприятие «Приобретение жилых помещений»</t>
  </si>
  <si>
    <t>4. Основное мероприятие «Определение рыночной стоимости жилых помещений (квартир)»</t>
  </si>
  <si>
    <t>"ПРИЛОЖЕНИЕ №2</t>
  </si>
  <si>
    <t>".</t>
  </si>
  <si>
    <t>"ПРИЛОЖЕНИЕ №3</t>
  </si>
  <si>
    <t>"ПРИЛОЖЕНИЕ №4</t>
  </si>
  <si>
    <t>"ПРИЛОЖЕНИЕ №5</t>
  </si>
  <si>
    <t>"ПРИЛОЖЕНИЕ №6</t>
  </si>
  <si>
    <t>Итого по этапу 2024 года:</t>
  </si>
  <si>
    <t>Всего по этапу 2024 года:</t>
  </si>
  <si>
    <t>Всего по этапу 2025 года:</t>
  </si>
  <si>
    <t>Итого по этапу 2025 года:</t>
  </si>
  <si>
    <t>КУИГ</t>
  </si>
  <si>
    <t>Обеспечение мероприятий по переселению граждан из аварийного жилищного фонда, в том числе по переселению из аварийного жилищного фонда с учетом необходимости развития малоэтажного жилищного строительства, в том числе:</t>
  </si>
  <si>
    <t>Снос аварийноых домов по этапу 2022 года</t>
  </si>
  <si>
    <t>2. Основное мероприятие «Реализация регионального проекта Ульяновской области «Обеспечение устойчивого сокращения непригодного для проживания жилищного фонда», направленного на достижение соответствующих результатов реализации федерального проекта  «Обеспечение устойчивого сокращения непригодного для проживания жилищного фонда»</t>
  </si>
  <si>
    <t>3. Основное мероприятие «Снос аварийного жилищного фонда»</t>
  </si>
  <si>
    <t>ПРИЛОЖЕНИЕ №1</t>
  </si>
  <si>
    <t>Снос аварийного жилищного фонда после расселения граждан, в том числе:  *</t>
  </si>
  <si>
    <t>Определение рыночной стоимости жилых помещений (квартир) аварийного жилищного фонда, в том числе:</t>
  </si>
  <si>
    <t>3.2.</t>
  </si>
  <si>
    <t>3.3.</t>
  </si>
  <si>
    <t>4.2.</t>
  </si>
  <si>
    <t>Выкуп жилых помещений</t>
  </si>
  <si>
    <t>Составление проектной документации на снос аварийных домов, в рамках софинансирования мероприятий по сносу</t>
  </si>
  <si>
    <t>Оказание услуг по проверке сметной документации на снос аварийных домов в рамках софинансирования мероприятий по сносу</t>
  </si>
  <si>
    <t>Определение стоимости работ по оценке 1 кв.м. площади жилого помещеня, находящихся в границах населенного пункта «город Димитровград»</t>
  </si>
</sst>
</file>

<file path=xl/styles.xml><?xml version="1.0" encoding="utf-8"?>
<styleSheet xmlns="http://schemas.openxmlformats.org/spreadsheetml/2006/main">
  <numFmts count="17">
    <numFmt numFmtId="43" formatCode="_-* #,##0.00\ _₽_-;\-* #,##0.00\ _₽_-;_-* &quot;-&quot;??\ _₽_-;_-@_-"/>
    <numFmt numFmtId="164" formatCode="#,##0.0000\ _₽"/>
    <numFmt numFmtId="165" formatCode="#,##0.00\ _₽"/>
    <numFmt numFmtId="166" formatCode="###\ ###\ ###\ ##0"/>
    <numFmt numFmtId="167" formatCode="#,##0.000\ _₽"/>
    <numFmt numFmtId="168" formatCode="#,##0.0000000000000\ _₽"/>
    <numFmt numFmtId="169" formatCode="0.000"/>
    <numFmt numFmtId="170" formatCode="0.00000000000"/>
    <numFmt numFmtId="171" formatCode="#,##0.00000\ _₽"/>
    <numFmt numFmtId="172" formatCode="0.0000"/>
    <numFmt numFmtId="173" formatCode="_-* #,##0.00000\ _₽_-;\-* #,##0.00000\ _₽_-;_-* &quot;-&quot;??\ _₽_-;_-@_-"/>
    <numFmt numFmtId="174" formatCode="_-* #,##0\ _₽_-;\-* #,##0\ _₽_-;_-* &quot;-&quot;??\ _₽_-;_-@_-"/>
    <numFmt numFmtId="175" formatCode="_-* #,##0.00\ _₽_-;\-* #,##0.00\ _₽_-;_-* &quot;-&quot;?????\ _₽_-;_-@_-"/>
    <numFmt numFmtId="176" formatCode="0.00000"/>
    <numFmt numFmtId="177" formatCode="#,##0.00000"/>
    <numFmt numFmtId="178" formatCode="_-* #,##0.000\ _₽_-;\-* #,##0.000\ _₽_-;_-* &quot;-&quot;??\ _₽_-;_-@_-"/>
    <numFmt numFmtId="179" formatCode="#,##0.00_ ;\-#,##0.00\ "/>
  </numFmts>
  <fonts count="65">
    <font>
      <sz val="11"/>
      <color theme="1"/>
      <name val="Calibri"/>
      <family val="2"/>
      <charset val="204"/>
      <scheme val="minor"/>
    </font>
    <font>
      <sz val="11"/>
      <color indexed="8"/>
      <name val="PT Astra Serif"/>
      <family val="1"/>
      <charset val="204"/>
    </font>
    <font>
      <sz val="19"/>
      <color indexed="8"/>
      <name val="PT Astra Serif"/>
      <family val="1"/>
      <charset val="204"/>
    </font>
    <font>
      <sz val="18.600000000000001"/>
      <color indexed="8"/>
      <name val="Calibri"/>
      <family val="2"/>
      <charset val="204"/>
    </font>
    <font>
      <sz val="18.600000000000001"/>
      <color indexed="8"/>
      <name val="PT Astra Serif"/>
      <family val="1"/>
      <charset val="204"/>
    </font>
    <font>
      <b/>
      <sz val="14"/>
      <color indexed="8"/>
      <name val="PT Astra Serif"/>
      <family val="1"/>
      <charset val="204"/>
    </font>
    <font>
      <sz val="10"/>
      <color indexed="8"/>
      <name val="PT Astra Serif"/>
      <family val="1"/>
      <charset val="204"/>
    </font>
    <font>
      <sz val="10"/>
      <name val="PT Astra Serif"/>
      <family val="1"/>
      <charset val="204"/>
    </font>
    <font>
      <sz val="10"/>
      <color indexed="8"/>
      <name val="PT Astra Serif"/>
      <family val="1"/>
      <charset val="204"/>
    </font>
    <font>
      <sz val="10"/>
      <name val="Times New Roman"/>
      <family val="1"/>
      <charset val="204"/>
    </font>
    <font>
      <sz val="10"/>
      <color indexed="8"/>
      <name val="Times New Roman"/>
      <family val="1"/>
      <charset val="204"/>
    </font>
    <font>
      <sz val="10"/>
      <color indexed="9"/>
      <name val="PT Astra Serif"/>
      <family val="1"/>
      <charset val="204"/>
    </font>
    <font>
      <sz val="10"/>
      <color indexed="8"/>
      <name val="Times New Roman"/>
      <family val="1"/>
      <charset val="204"/>
    </font>
    <font>
      <sz val="8"/>
      <name val="PT Astra Serif"/>
      <family val="1"/>
      <charset val="204"/>
    </font>
    <font>
      <sz val="9"/>
      <color indexed="8"/>
      <name val="PT Astra Serif"/>
      <family val="1"/>
      <charset val="204"/>
    </font>
    <font>
      <sz val="12"/>
      <color indexed="8"/>
      <name val="Times New Roman"/>
      <family val="1"/>
      <charset val="204"/>
    </font>
    <font>
      <b/>
      <sz val="11"/>
      <color indexed="8"/>
      <name val="Times New Roman"/>
      <family val="1"/>
      <charset val="204"/>
    </font>
    <font>
      <sz val="11"/>
      <color indexed="8"/>
      <name val="Times New Roman"/>
      <family val="1"/>
      <charset val="204"/>
    </font>
    <font>
      <sz val="9"/>
      <color indexed="8"/>
      <name val="Times New Roman"/>
      <family val="1"/>
      <charset val="204"/>
    </font>
    <font>
      <sz val="9"/>
      <color indexed="8"/>
      <name val="Times New Roman"/>
      <family val="1"/>
      <charset val="204"/>
    </font>
    <font>
      <sz val="8"/>
      <color indexed="8"/>
      <name val="Times New Roman"/>
      <family val="1"/>
      <charset val="204"/>
    </font>
    <font>
      <sz val="8"/>
      <color indexed="8"/>
      <name val="Times New Roman"/>
      <family val="1"/>
      <charset val="204"/>
    </font>
    <font>
      <b/>
      <sz val="8"/>
      <color indexed="8"/>
      <name val="Times New Roman"/>
      <family val="1"/>
      <charset val="204"/>
    </font>
    <font>
      <b/>
      <sz val="9"/>
      <color indexed="8"/>
      <name val="Times New Roman"/>
      <family val="1"/>
      <charset val="204"/>
    </font>
    <font>
      <b/>
      <sz val="9"/>
      <color indexed="8"/>
      <name val="Times New Roman"/>
      <family val="1"/>
      <charset val="204"/>
    </font>
    <font>
      <sz val="6"/>
      <color indexed="8"/>
      <name val="Times New Roman"/>
      <family val="1"/>
      <charset val="204"/>
    </font>
    <font>
      <sz val="7.5"/>
      <color indexed="8"/>
      <name val="Times New Roman"/>
      <family val="1"/>
      <charset val="204"/>
    </font>
    <font>
      <sz val="9"/>
      <color indexed="8"/>
      <name val="Calibri"/>
      <family val="2"/>
      <charset val="204"/>
    </font>
    <font>
      <sz val="8"/>
      <color indexed="8"/>
      <name val="Calibri"/>
      <family val="2"/>
      <charset val="204"/>
    </font>
    <font>
      <b/>
      <sz val="11"/>
      <color indexed="8"/>
      <name val="Calibri"/>
      <family val="2"/>
      <charset val="204"/>
    </font>
    <font>
      <b/>
      <sz val="9"/>
      <name val="Times New Roman"/>
      <family val="1"/>
      <charset val="204"/>
    </font>
    <font>
      <b/>
      <sz val="9"/>
      <color indexed="8"/>
      <name val="Calibri"/>
      <family val="2"/>
      <charset val="204"/>
    </font>
    <font>
      <b/>
      <sz val="11"/>
      <name val="Times New Roman"/>
      <family val="1"/>
      <charset val="204"/>
    </font>
    <font>
      <sz val="11"/>
      <name val="Times New Roman"/>
      <family val="1"/>
      <charset val="204"/>
    </font>
    <font>
      <b/>
      <sz val="10"/>
      <color indexed="8"/>
      <name val="Times New Roman"/>
      <family val="1"/>
      <charset val="204"/>
    </font>
    <font>
      <sz val="11"/>
      <color indexed="10"/>
      <name val="Times New Roman"/>
      <family val="1"/>
      <charset val="204"/>
    </font>
    <font>
      <b/>
      <sz val="10"/>
      <name val="Times New Roman"/>
      <family val="1"/>
      <charset val="204"/>
    </font>
    <font>
      <b/>
      <i/>
      <sz val="11"/>
      <color indexed="8"/>
      <name val="Calibri"/>
      <family val="2"/>
      <charset val="204"/>
    </font>
    <font>
      <sz val="10"/>
      <name val="Arial Cyr"/>
      <charset val="204"/>
    </font>
    <font>
      <sz val="8"/>
      <name val="Times New Roman"/>
      <family val="1"/>
      <charset val="204"/>
    </font>
    <font>
      <b/>
      <sz val="16"/>
      <color indexed="8"/>
      <name val="Times New Roman"/>
      <family val="1"/>
      <charset val="204"/>
    </font>
    <font>
      <sz val="16"/>
      <color indexed="8"/>
      <name val="Times New Roman"/>
      <family val="1"/>
      <charset val="204"/>
    </font>
    <font>
      <sz val="10"/>
      <color indexed="10"/>
      <name val="Times New Roman"/>
      <family val="1"/>
      <charset val="204"/>
    </font>
    <font>
      <sz val="8"/>
      <color indexed="8"/>
      <name val="Calibri"/>
      <family val="2"/>
    </font>
    <font>
      <b/>
      <sz val="8"/>
      <name val="Times New Roman"/>
      <family val="1"/>
      <charset val="204"/>
    </font>
    <font>
      <b/>
      <sz val="8"/>
      <color indexed="8"/>
      <name val="Calibri"/>
      <family val="2"/>
    </font>
    <font>
      <b/>
      <sz val="20"/>
      <color indexed="8"/>
      <name val="Times New Roman"/>
      <family val="1"/>
      <charset val="204"/>
    </font>
    <font>
      <sz val="20"/>
      <color indexed="8"/>
      <name val="Times New Roman"/>
      <family val="1"/>
      <charset val="204"/>
    </font>
    <font>
      <b/>
      <sz val="10"/>
      <color indexed="10"/>
      <name val="Times New Roman"/>
      <family val="1"/>
      <charset val="204"/>
    </font>
    <font>
      <sz val="9"/>
      <color indexed="81"/>
      <name val="Tahoma"/>
      <family val="2"/>
      <charset val="204"/>
    </font>
    <font>
      <b/>
      <sz val="9"/>
      <color indexed="81"/>
      <name val="Tahoma"/>
      <family val="2"/>
      <charset val="204"/>
    </font>
    <font>
      <sz val="14"/>
      <color indexed="8"/>
      <name val="Times New Roman"/>
      <family val="1"/>
      <charset val="204"/>
    </font>
    <font>
      <sz val="9"/>
      <color indexed="81"/>
      <name val="Tahoma"/>
      <charset val="1"/>
    </font>
    <font>
      <b/>
      <sz val="9"/>
      <color indexed="81"/>
      <name val="Tahoma"/>
      <charset val="1"/>
    </font>
    <font>
      <sz val="10"/>
      <name val="Arial"/>
      <family val="2"/>
      <charset val="204"/>
    </font>
    <font>
      <sz val="8.5"/>
      <name val="MS Sans Serif"/>
      <family val="2"/>
      <charset val="204"/>
    </font>
    <font>
      <sz val="14"/>
      <name val="Times New Roman"/>
      <family val="1"/>
      <charset val="204"/>
    </font>
    <font>
      <sz val="8"/>
      <name val="Arial Narrow"/>
      <family val="2"/>
      <charset val="204"/>
    </font>
    <font>
      <b/>
      <sz val="8"/>
      <name val="MS Sans Serif"/>
      <family val="2"/>
      <charset val="204"/>
    </font>
    <font>
      <sz val="8"/>
      <name val="Arial"/>
      <family val="2"/>
      <charset val="204"/>
    </font>
    <font>
      <b/>
      <sz val="8"/>
      <name val="Arial Narrow"/>
      <family val="2"/>
      <charset val="204"/>
    </font>
    <font>
      <b/>
      <sz val="8"/>
      <color indexed="8"/>
      <name val="Times New Roman"/>
      <family val="1"/>
      <charset val="204"/>
    </font>
    <font>
      <b/>
      <sz val="12"/>
      <color indexed="8"/>
      <name val="Times New Roman"/>
      <family val="1"/>
      <charset val="204"/>
    </font>
    <font>
      <sz val="8"/>
      <name val="Calibri"/>
      <family val="2"/>
      <charset val="204"/>
    </font>
    <font>
      <b/>
      <sz val="13.5"/>
      <color theme="1"/>
      <name val="Times New Roman"/>
      <family val="1"/>
      <charset val="204"/>
    </font>
  </fonts>
  <fills count="2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0"/>
        <bgColor indexed="64"/>
      </patternFill>
    </fill>
    <fill>
      <patternFill patternType="solid">
        <fgColor indexed="51"/>
        <bgColor indexed="64"/>
      </patternFill>
    </fill>
    <fill>
      <patternFill patternType="solid">
        <fgColor indexed="30"/>
        <bgColor indexed="64"/>
      </patternFill>
    </fill>
    <fill>
      <patternFill patternType="solid">
        <fgColor indexed="50"/>
        <bgColor indexed="64"/>
      </patternFill>
    </fill>
    <fill>
      <patternFill patternType="solid">
        <fgColor indexed="44"/>
        <bgColor indexed="64"/>
      </patternFill>
    </fill>
    <fill>
      <patternFill patternType="solid">
        <fgColor indexed="10"/>
        <bgColor indexed="64"/>
      </patternFill>
    </fill>
    <fill>
      <patternFill patternType="solid">
        <fgColor indexed="29"/>
        <bgColor indexed="64"/>
      </patternFill>
    </fill>
    <fill>
      <patternFill patternType="solid">
        <fgColor indexed="27"/>
        <bgColor indexed="64"/>
      </patternFill>
    </fill>
    <fill>
      <patternFill patternType="solid">
        <fgColor indexed="53"/>
        <bgColor indexed="64"/>
      </patternFill>
    </fill>
    <fill>
      <patternFill patternType="solid">
        <fgColor indexed="17"/>
        <bgColor indexed="64"/>
      </patternFill>
    </fill>
    <fill>
      <patternFill patternType="solid">
        <fgColor indexed="52"/>
        <bgColor indexed="64"/>
      </patternFill>
    </fill>
    <fill>
      <patternFill patternType="solid">
        <fgColor indexed="36"/>
        <bgColor indexed="64"/>
      </patternFill>
    </fill>
    <fill>
      <patternFill patternType="solid">
        <fgColor indexed="60"/>
        <bgColor indexed="64"/>
      </patternFill>
    </fill>
    <fill>
      <patternFill patternType="solid">
        <fgColor indexed="62"/>
        <bgColor indexed="64"/>
      </patternFill>
    </fill>
    <fill>
      <patternFill patternType="solid">
        <fgColor theme="0"/>
        <bgColor indexed="64"/>
      </patternFill>
    </fill>
    <fill>
      <patternFill patternType="solid">
        <fgColor theme="4"/>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diagonalDown="1">
      <left style="thin">
        <color indexed="64"/>
      </left>
      <right/>
      <top style="dotted">
        <color indexed="64"/>
      </top>
      <bottom style="dotted">
        <color indexed="64"/>
      </bottom>
      <diagonal/>
    </border>
    <border diagonalUp="1" diagonalDown="1">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border>
    <border diagonalUp="1" diagonalDown="1">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38" fillId="0" borderId="0"/>
    <xf numFmtId="0" fontId="54" fillId="0" borderId="0"/>
  </cellStyleXfs>
  <cellXfs count="660">
    <xf numFmtId="0" fontId="0" fillId="0" borderId="0" xfId="0"/>
    <xf numFmtId="0" fontId="0" fillId="2" borderId="0" xfId="0" applyFill="1"/>
    <xf numFmtId="0" fontId="1" fillId="2" borderId="0" xfId="0" applyFont="1" applyFill="1"/>
    <xf numFmtId="0" fontId="0" fillId="2" borderId="0" xfId="0" applyFill="1" applyAlignment="1">
      <alignment horizontal="right"/>
    </xf>
    <xf numFmtId="0" fontId="3" fillId="2" borderId="0" xfId="0" applyFont="1" applyFill="1"/>
    <xf numFmtId="0" fontId="4" fillId="2" borderId="0" xfId="0" applyFont="1" applyFill="1"/>
    <xf numFmtId="0" fontId="4" fillId="2" borderId="0" xfId="0" applyFont="1" applyFill="1" applyAlignment="1">
      <alignment horizontal="center"/>
    </xf>
    <xf numFmtId="0" fontId="6" fillId="2" borderId="0" xfId="0" applyFont="1" applyFill="1"/>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4" fontId="7" fillId="2" borderId="1" xfId="0" applyNumberFormat="1" applyFont="1" applyFill="1" applyBorder="1" applyAlignment="1">
      <alignment horizontal="center" vertical="center"/>
    </xf>
    <xf numFmtId="164" fontId="0" fillId="2" borderId="0" xfId="0" applyNumberFormat="1" applyFill="1"/>
    <xf numFmtId="0" fontId="7" fillId="2" borderId="1" xfId="0" applyFont="1" applyFill="1" applyBorder="1" applyAlignment="1">
      <alignment horizontal="center" vertical="top"/>
    </xf>
    <xf numFmtId="1" fontId="7" fillId="2" borderId="1" xfId="0" applyNumberFormat="1" applyFont="1" applyFill="1" applyBorder="1" applyAlignment="1">
      <alignment horizontal="center" vertical="top"/>
    </xf>
    <xf numFmtId="2" fontId="7" fillId="2" borderId="1" xfId="0" applyNumberFormat="1" applyFont="1" applyFill="1" applyBorder="1" applyAlignment="1">
      <alignment horizontal="center" vertical="top"/>
    </xf>
    <xf numFmtId="165" fontId="9" fillId="2" borderId="1" xfId="0" applyNumberFormat="1" applyFont="1" applyFill="1" applyBorder="1" applyAlignment="1">
      <alignment horizontal="center" vertical="top"/>
    </xf>
    <xf numFmtId="0" fontId="6" fillId="2" borderId="1" xfId="0" applyFont="1" applyFill="1" applyBorder="1"/>
    <xf numFmtId="164" fontId="9" fillId="2" borderId="2" xfId="0" applyNumberFormat="1" applyFont="1" applyFill="1" applyBorder="1" applyAlignment="1">
      <alignment horizontal="center" vertical="top"/>
    </xf>
    <xf numFmtId="1" fontId="9" fillId="2" borderId="1" xfId="0" applyNumberFormat="1" applyFont="1" applyFill="1" applyBorder="1" applyAlignment="1">
      <alignment horizontal="center" vertical="top"/>
    </xf>
    <xf numFmtId="2" fontId="9" fillId="2" borderId="1" xfId="0" applyNumberFormat="1" applyFont="1" applyFill="1" applyBorder="1" applyAlignment="1">
      <alignment horizontal="center" vertical="top"/>
    </xf>
    <xf numFmtId="165" fontId="10" fillId="2" borderId="1" xfId="0" applyNumberFormat="1" applyFont="1" applyFill="1" applyBorder="1" applyAlignment="1">
      <alignment horizontal="center" vertical="top"/>
    </xf>
    <xf numFmtId="0" fontId="6" fillId="2" borderId="1" xfId="0" applyFont="1" applyFill="1" applyBorder="1" applyAlignment="1">
      <alignment horizontal="center" vertical="top"/>
    </xf>
    <xf numFmtId="0" fontId="6" fillId="2" borderId="1" xfId="0" applyFont="1" applyFill="1" applyBorder="1" applyAlignment="1">
      <alignment horizontal="left" vertical="top" wrapText="1"/>
    </xf>
    <xf numFmtId="0" fontId="6" fillId="2" borderId="1" xfId="0" quotePrefix="1" applyFont="1" applyFill="1" applyBorder="1" applyAlignment="1">
      <alignment horizontal="center" vertical="top"/>
    </xf>
    <xf numFmtId="14" fontId="6" fillId="2" borderId="1" xfId="0" applyNumberFormat="1" applyFont="1" applyFill="1" applyBorder="1" applyAlignment="1">
      <alignment horizontal="center" vertical="top"/>
    </xf>
    <xf numFmtId="166" fontId="7" fillId="2" borderId="1" xfId="0" applyNumberFormat="1" applyFont="1" applyFill="1" applyBorder="1" applyAlignment="1">
      <alignment horizontal="center" vertical="top" wrapText="1"/>
    </xf>
    <xf numFmtId="1" fontId="6" fillId="2" borderId="1" xfId="0" applyNumberFormat="1" applyFont="1" applyFill="1" applyBorder="1" applyAlignment="1">
      <alignment horizontal="center" vertical="top"/>
    </xf>
    <xf numFmtId="2" fontId="6" fillId="2" borderId="1" xfId="0" applyNumberFormat="1" applyFont="1" applyFill="1" applyBorder="1" applyAlignment="1">
      <alignment horizontal="center" vertical="top"/>
    </xf>
    <xf numFmtId="165" fontId="6" fillId="2" borderId="1" xfId="0" applyNumberFormat="1" applyFont="1" applyFill="1" applyBorder="1" applyAlignment="1">
      <alignment horizontal="center" vertical="top"/>
    </xf>
    <xf numFmtId="165" fontId="7" fillId="2" borderId="1" xfId="0" applyNumberFormat="1" applyFont="1" applyFill="1" applyBorder="1" applyAlignment="1">
      <alignment horizontal="center" vertical="top"/>
    </xf>
    <xf numFmtId="167" fontId="0" fillId="2" borderId="0" xfId="0" applyNumberFormat="1" applyFill="1"/>
    <xf numFmtId="1" fontId="10" fillId="2" borderId="1" xfId="0" applyNumberFormat="1" applyFont="1" applyFill="1" applyBorder="1" applyAlignment="1">
      <alignment horizontal="center" vertical="top"/>
    </xf>
    <xf numFmtId="2" fontId="10" fillId="2" borderId="1" xfId="0" applyNumberFormat="1" applyFont="1" applyFill="1" applyBorder="1" applyAlignment="1">
      <alignment horizontal="center" vertical="top"/>
    </xf>
    <xf numFmtId="0" fontId="11" fillId="2" borderId="1" xfId="0" applyFont="1" applyFill="1" applyBorder="1"/>
    <xf numFmtId="0" fontId="7" fillId="2" borderId="1" xfId="0" applyFont="1" applyFill="1" applyBorder="1" applyAlignment="1">
      <alignment horizontal="left" vertical="top" wrapText="1"/>
    </xf>
    <xf numFmtId="0" fontId="7" fillId="2" borderId="1" xfId="0" quotePrefix="1" applyFont="1" applyFill="1" applyBorder="1" applyAlignment="1">
      <alignment horizontal="center" vertical="top"/>
    </xf>
    <xf numFmtId="14" fontId="7" fillId="2" borderId="1" xfId="0" applyNumberFormat="1" applyFont="1" applyFill="1" applyBorder="1" applyAlignment="1">
      <alignment horizontal="center" vertical="top"/>
    </xf>
    <xf numFmtId="2" fontId="12" fillId="2" borderId="1" xfId="0" applyNumberFormat="1" applyFont="1" applyFill="1" applyBorder="1" applyAlignment="1">
      <alignment horizontal="center" vertical="top"/>
    </xf>
    <xf numFmtId="165" fontId="12" fillId="2" borderId="1" xfId="0" applyNumberFormat="1" applyFont="1" applyFill="1" applyBorder="1" applyAlignment="1">
      <alignment horizontal="center" vertical="top"/>
    </xf>
    <xf numFmtId="1" fontId="12" fillId="2" borderId="1" xfId="0" applyNumberFormat="1" applyFont="1" applyFill="1" applyBorder="1" applyAlignment="1">
      <alignment horizontal="center" vertical="top"/>
    </xf>
    <xf numFmtId="0" fontId="6" fillId="2" borderId="1" xfId="0" applyFont="1" applyFill="1" applyBorder="1" applyAlignment="1">
      <alignment horizontal="center" vertical="top" wrapText="1"/>
    </xf>
    <xf numFmtId="49" fontId="7" fillId="2" borderId="1" xfId="0" quotePrefix="1" applyNumberFormat="1" applyFont="1" applyFill="1" applyBorder="1" applyAlignment="1">
      <alignment horizontal="center" vertical="top"/>
    </xf>
    <xf numFmtId="0" fontId="8" fillId="2" borderId="1" xfId="0" applyFont="1" applyFill="1" applyBorder="1" applyAlignment="1">
      <alignment horizontal="left" vertical="top" wrapText="1"/>
    </xf>
    <xf numFmtId="49" fontId="6" fillId="2" borderId="1" xfId="0" quotePrefix="1" applyNumberFormat="1" applyFont="1" applyFill="1" applyBorder="1" applyAlignment="1">
      <alignment horizontal="center" vertical="top"/>
    </xf>
    <xf numFmtId="0" fontId="8" fillId="2" borderId="1" xfId="0" quotePrefix="1" applyFont="1" applyFill="1" applyBorder="1" applyAlignment="1">
      <alignment horizontal="center" vertical="top"/>
    </xf>
    <xf numFmtId="166" fontId="6" fillId="2" borderId="1" xfId="0" applyNumberFormat="1" applyFont="1" applyFill="1" applyBorder="1" applyAlignment="1">
      <alignment horizontal="center" vertical="top" wrapText="1"/>
    </xf>
    <xf numFmtId="168" fontId="13" fillId="2" borderId="1" xfId="0" applyNumberFormat="1" applyFont="1" applyFill="1" applyBorder="1" applyAlignment="1">
      <alignment horizontal="center" vertical="top"/>
    </xf>
    <xf numFmtId="164" fontId="6" fillId="2" borderId="2" xfId="0" applyNumberFormat="1" applyFont="1" applyFill="1" applyBorder="1" applyAlignment="1">
      <alignment horizontal="center" vertical="top"/>
    </xf>
    <xf numFmtId="0" fontId="11" fillId="2" borderId="1" xfId="0" applyFont="1" applyFill="1" applyBorder="1" applyAlignment="1">
      <alignment vertical="top"/>
    </xf>
    <xf numFmtId="165" fontId="6" fillId="2" borderId="2" xfId="0" applyNumberFormat="1" applyFont="1" applyFill="1" applyBorder="1" applyAlignment="1">
      <alignment horizontal="center" vertical="top"/>
    </xf>
    <xf numFmtId="0" fontId="6" fillId="3" borderId="1" xfId="0" applyFont="1" applyFill="1" applyBorder="1" applyAlignment="1">
      <alignment horizontal="center" vertical="top"/>
    </xf>
    <xf numFmtId="1" fontId="6" fillId="3" borderId="1" xfId="0" applyNumberFormat="1" applyFont="1" applyFill="1" applyBorder="1" applyAlignment="1">
      <alignment horizontal="center" vertical="top"/>
    </xf>
    <xf numFmtId="2" fontId="6" fillId="3" borderId="1" xfId="0" applyNumberFormat="1" applyFont="1" applyFill="1" applyBorder="1" applyAlignment="1">
      <alignment horizontal="center" vertical="top"/>
    </xf>
    <xf numFmtId="165" fontId="6" fillId="3" borderId="1" xfId="0" applyNumberFormat="1" applyFont="1" applyFill="1" applyBorder="1" applyAlignment="1">
      <alignment horizontal="center" vertical="top"/>
    </xf>
    <xf numFmtId="169" fontId="0" fillId="2" borderId="0" xfId="0" applyNumberFormat="1" applyFill="1"/>
    <xf numFmtId="49" fontId="8" fillId="2" borderId="1" xfId="0" quotePrefix="1" applyNumberFormat="1" applyFont="1" applyFill="1" applyBorder="1" applyAlignment="1">
      <alignment horizontal="center" vertical="top"/>
    </xf>
    <xf numFmtId="2" fontId="8" fillId="2" borderId="1" xfId="0" applyNumberFormat="1" applyFont="1" applyFill="1" applyBorder="1" applyAlignment="1">
      <alignment horizontal="center" vertical="top"/>
    </xf>
    <xf numFmtId="1" fontId="8" fillId="2" borderId="1" xfId="0" applyNumberFormat="1" applyFont="1" applyFill="1" applyBorder="1" applyAlignment="1">
      <alignment horizontal="center" vertical="top"/>
    </xf>
    <xf numFmtId="0" fontId="0" fillId="2" borderId="1" xfId="0" applyFill="1" applyBorder="1"/>
    <xf numFmtId="0" fontId="1" fillId="2" borderId="1" xfId="0" applyFont="1" applyFill="1" applyBorder="1"/>
    <xf numFmtId="170" fontId="0" fillId="2" borderId="0" xfId="0" applyNumberFormat="1" applyFill="1"/>
    <xf numFmtId="4" fontId="0" fillId="2" borderId="0" xfId="0" applyNumberFormat="1" applyFill="1"/>
    <xf numFmtId="0" fontId="0" fillId="3" borderId="0" xfId="0" applyFill="1"/>
    <xf numFmtId="1" fontId="8" fillId="3" borderId="1" xfId="0" applyNumberFormat="1" applyFont="1" applyFill="1" applyBorder="1" applyAlignment="1">
      <alignment horizontal="center" vertical="top"/>
    </xf>
    <xf numFmtId="1" fontId="7" fillId="3" borderId="1" xfId="0" applyNumberFormat="1" applyFont="1" applyFill="1" applyBorder="1" applyAlignment="1">
      <alignment horizontal="center" vertical="top"/>
    </xf>
    <xf numFmtId="2" fontId="8" fillId="3" borderId="1" xfId="0" applyNumberFormat="1" applyFont="1" applyFill="1" applyBorder="1" applyAlignment="1">
      <alignment horizontal="center" vertical="top"/>
    </xf>
    <xf numFmtId="165" fontId="7" fillId="3" borderId="1" xfId="0" applyNumberFormat="1" applyFont="1" applyFill="1" applyBorder="1" applyAlignment="1">
      <alignment horizontal="center" vertical="top"/>
    </xf>
    <xf numFmtId="164" fontId="0" fillId="2" borderId="0" xfId="0" applyNumberFormat="1" applyFill="1" applyAlignment="1">
      <alignment horizontal="right"/>
    </xf>
    <xf numFmtId="171" fontId="0" fillId="2" borderId="0" xfId="0" applyNumberFormat="1" applyFill="1"/>
    <xf numFmtId="0" fontId="7" fillId="3" borderId="1" xfId="0" applyFont="1" applyFill="1" applyBorder="1" applyAlignment="1">
      <alignment horizontal="center" vertical="top"/>
    </xf>
    <xf numFmtId="169" fontId="6" fillId="2" borderId="1" xfId="0" applyNumberFormat="1" applyFont="1" applyFill="1" applyBorder="1"/>
    <xf numFmtId="0" fontId="10" fillId="0" borderId="0" xfId="0" applyFont="1" applyAlignment="1">
      <alignment horizontal="left" indent="15"/>
    </xf>
    <xf numFmtId="0" fontId="15" fillId="0" borderId="0" xfId="0" applyFont="1"/>
    <xf numFmtId="0" fontId="10" fillId="0" borderId="0" xfId="0" applyFont="1" applyAlignment="1">
      <alignment horizontal="justify"/>
    </xf>
    <xf numFmtId="0" fontId="16" fillId="0" borderId="0" xfId="0" applyFont="1" applyAlignment="1">
      <alignment horizontal="center"/>
    </xf>
    <xf numFmtId="0" fontId="0" fillId="0" borderId="0" xfId="0" applyAlignment="1">
      <alignment wrapText="1"/>
    </xf>
    <xf numFmtId="0" fontId="15" fillId="0" borderId="0" xfId="0" applyFont="1" applyAlignment="1">
      <alignment vertical="top" wrapText="1"/>
    </xf>
    <xf numFmtId="0" fontId="18" fillId="0" borderId="0" xfId="0" applyFont="1"/>
    <xf numFmtId="0" fontId="0" fillId="0" borderId="0" xfId="0" applyAlignment="1">
      <alignment vertical="top" wrapText="1"/>
    </xf>
    <xf numFmtId="0" fontId="17" fillId="0" borderId="0" xfId="0" applyFont="1" applyAlignment="1">
      <alignment horizontal="center"/>
    </xf>
    <xf numFmtId="0" fontId="10" fillId="0" borderId="0" xfId="0" applyFont="1" applyAlignment="1">
      <alignment horizontal="center"/>
    </xf>
    <xf numFmtId="0" fontId="15" fillId="0" borderId="0" xfId="0" applyFont="1" applyAlignment="1">
      <alignment wrapText="1"/>
    </xf>
    <xf numFmtId="0" fontId="10" fillId="0" borderId="0" xfId="0" applyFont="1" applyAlignment="1"/>
    <xf numFmtId="0" fontId="27" fillId="0" borderId="0" xfId="0" applyFont="1"/>
    <xf numFmtId="0" fontId="28" fillId="0" borderId="0" xfId="0" applyFont="1"/>
    <xf numFmtId="0" fontId="20" fillId="0" borderId="1" xfId="0" applyFont="1" applyBorder="1" applyAlignment="1">
      <alignment horizontal="center" wrapText="1"/>
    </xf>
    <xf numFmtId="0" fontId="20" fillId="0" borderId="1" xfId="0" applyFont="1" applyBorder="1" applyAlignment="1">
      <alignment horizontal="center" vertical="center" textRotation="90" wrapText="1"/>
    </xf>
    <xf numFmtId="0" fontId="28" fillId="0" borderId="1" xfId="0" applyFont="1" applyBorder="1" applyAlignment="1">
      <alignment wrapText="1"/>
    </xf>
    <xf numFmtId="0" fontId="20" fillId="0" borderId="1" xfId="0" applyFont="1" applyBorder="1" applyAlignment="1">
      <alignment horizontal="center" textRotation="90" wrapText="1"/>
    </xf>
    <xf numFmtId="0" fontId="21" fillId="0" borderId="1" xfId="0" applyFont="1" applyBorder="1" applyAlignment="1">
      <alignment horizontal="center" textRotation="90" wrapText="1"/>
    </xf>
    <xf numFmtId="0" fontId="18" fillId="0" borderId="1" xfId="0" applyFont="1" applyBorder="1" applyAlignment="1">
      <alignment horizontal="center" wrapText="1"/>
    </xf>
    <xf numFmtId="0" fontId="18" fillId="0" borderId="1" xfId="0" applyFont="1" applyBorder="1" applyAlignment="1">
      <alignment vertical="top" wrapText="1"/>
    </xf>
    <xf numFmtId="0" fontId="20" fillId="0" borderId="1" xfId="0" applyFont="1" applyBorder="1" applyAlignment="1">
      <alignment horizontal="center" vertical="center" wrapText="1"/>
    </xf>
    <xf numFmtId="0" fontId="20" fillId="0" borderId="1" xfId="0" applyFont="1" applyBorder="1" applyAlignment="1">
      <alignment horizontal="center" vertical="top" wrapText="1"/>
    </xf>
    <xf numFmtId="0" fontId="20" fillId="0" borderId="1" xfId="0" applyFont="1" applyBorder="1" applyAlignment="1">
      <alignment vertical="top" wrapText="1"/>
    </xf>
    <xf numFmtId="43" fontId="20" fillId="0" borderId="1" xfId="0" applyNumberFormat="1" applyFont="1" applyBorder="1" applyAlignment="1">
      <alignment horizontal="center" vertical="top" wrapText="1"/>
    </xf>
    <xf numFmtId="43" fontId="22" fillId="0" borderId="1" xfId="0" applyNumberFormat="1" applyFont="1" applyBorder="1" applyAlignment="1">
      <alignment horizontal="center" vertical="top" wrapText="1"/>
    </xf>
    <xf numFmtId="49" fontId="20" fillId="0" borderId="1" xfId="0" applyNumberFormat="1" applyFont="1" applyBorder="1" applyAlignment="1">
      <alignment horizontal="center" vertical="top" wrapText="1"/>
    </xf>
    <xf numFmtId="174" fontId="20" fillId="0" borderId="1" xfId="0" applyNumberFormat="1" applyFont="1" applyBorder="1" applyAlignment="1">
      <alignment horizontal="center" vertical="top" wrapText="1"/>
    </xf>
    <xf numFmtId="174" fontId="20" fillId="0" borderId="1" xfId="0" applyNumberFormat="1" applyFont="1" applyBorder="1" applyAlignment="1">
      <alignment vertical="top" wrapText="1"/>
    </xf>
    <xf numFmtId="174" fontId="22" fillId="0" borderId="1" xfId="0" applyNumberFormat="1" applyFont="1" applyBorder="1" applyAlignment="1">
      <alignment horizontal="center" vertical="top" wrapText="1"/>
    </xf>
    <xf numFmtId="0" fontId="0" fillId="0" borderId="0" xfId="0" applyAlignment="1">
      <alignment vertical="top"/>
    </xf>
    <xf numFmtId="0" fontId="28" fillId="0" borderId="1" xfId="0" applyFont="1" applyBorder="1" applyAlignment="1">
      <alignment vertical="top" wrapText="1"/>
    </xf>
    <xf numFmtId="0" fontId="28" fillId="0" borderId="1" xfId="0" applyFont="1" applyBorder="1" applyAlignment="1"/>
    <xf numFmtId="0" fontId="10" fillId="0" borderId="0" xfId="0" applyFont="1" applyAlignment="1">
      <alignment horizontal="left" vertical="top"/>
    </xf>
    <xf numFmtId="0" fontId="20" fillId="0" borderId="1" xfId="0" applyFont="1" applyBorder="1" applyAlignment="1">
      <alignment wrapText="1"/>
    </xf>
    <xf numFmtId="14" fontId="20" fillId="0" borderId="1" xfId="0" applyNumberFormat="1" applyFont="1" applyBorder="1" applyAlignment="1">
      <alignment horizontal="center" vertical="center" wrapText="1"/>
    </xf>
    <xf numFmtId="0" fontId="0" fillId="0" borderId="0" xfId="0" applyBorder="1" applyAlignment="1">
      <alignment wrapText="1"/>
    </xf>
    <xf numFmtId="0" fontId="22" fillId="0" borderId="1" xfId="0" applyFont="1" applyBorder="1" applyAlignment="1">
      <alignment horizontal="center" vertical="center" wrapText="1"/>
    </xf>
    <xf numFmtId="0" fontId="29" fillId="0" borderId="0" xfId="0" applyFont="1" applyAlignment="1">
      <alignment wrapText="1"/>
    </xf>
    <xf numFmtId="0" fontId="29" fillId="0" borderId="0" xfId="0" applyFont="1"/>
    <xf numFmtId="43" fontId="22" fillId="0" borderId="1" xfId="0" applyNumberFormat="1" applyFont="1" applyBorder="1" applyAlignment="1">
      <alignment horizontal="center" vertical="center" wrapText="1"/>
    </xf>
    <xf numFmtId="43" fontId="20" fillId="0" borderId="1" xfId="0" applyNumberFormat="1" applyFont="1" applyBorder="1" applyAlignment="1">
      <alignment horizontal="center" vertical="center" wrapText="1"/>
    </xf>
    <xf numFmtId="43" fontId="21" fillId="0" borderId="1" xfId="0" applyNumberFormat="1" applyFont="1" applyBorder="1" applyAlignment="1">
      <alignment horizontal="center" vertical="center" wrapText="1"/>
    </xf>
    <xf numFmtId="174" fontId="22" fillId="0" borderId="1" xfId="0" applyNumberFormat="1" applyFont="1" applyBorder="1" applyAlignment="1">
      <alignment horizontal="center" vertical="center" wrapText="1"/>
    </xf>
    <xf numFmtId="174" fontId="20" fillId="0" borderId="1" xfId="0" applyNumberFormat="1" applyFont="1" applyBorder="1" applyAlignment="1">
      <alignment horizontal="center" vertical="center" wrapText="1"/>
    </xf>
    <xf numFmtId="173" fontId="20" fillId="0" borderId="1" xfId="0" applyNumberFormat="1" applyFont="1" applyBorder="1" applyAlignment="1">
      <alignment horizontal="center" vertical="center" wrapText="1"/>
    </xf>
    <xf numFmtId="173" fontId="22" fillId="3" borderId="1" xfId="0" applyNumberFormat="1" applyFont="1" applyFill="1" applyBorder="1" applyAlignment="1">
      <alignment horizontal="center" vertical="center" wrapText="1"/>
    </xf>
    <xf numFmtId="0" fontId="0" fillId="0" borderId="0" xfId="0" applyAlignment="1"/>
    <xf numFmtId="0" fontId="18" fillId="0" borderId="1" xfId="0" applyFont="1" applyBorder="1" applyAlignment="1">
      <alignment wrapText="1"/>
    </xf>
    <xf numFmtId="0" fontId="0" fillId="2" borderId="1" xfId="0" applyFill="1" applyBorder="1" applyAlignment="1">
      <alignment wrapText="1"/>
    </xf>
    <xf numFmtId="0" fontId="18" fillId="2" borderId="1" xfId="0" applyFont="1" applyFill="1" applyBorder="1" applyAlignment="1">
      <alignment horizontal="center" textRotation="90"/>
    </xf>
    <xf numFmtId="0" fontId="0" fillId="2" borderId="1" xfId="0" applyFill="1" applyBorder="1" applyAlignment="1">
      <alignment textRotation="90" wrapText="1"/>
    </xf>
    <xf numFmtId="0" fontId="18" fillId="2" borderId="1" xfId="0" applyFont="1" applyFill="1" applyBorder="1" applyAlignment="1">
      <alignment horizontal="center"/>
    </xf>
    <xf numFmtId="0" fontId="19" fillId="2" borderId="1" xfId="0" applyFont="1" applyFill="1" applyBorder="1" applyAlignment="1">
      <alignment horizontal="center"/>
    </xf>
    <xf numFmtId="0" fontId="18" fillId="2" borderId="1" xfId="0" applyFont="1" applyFill="1" applyBorder="1" applyAlignment="1">
      <alignment horizontal="center" wrapText="1"/>
    </xf>
    <xf numFmtId="0" fontId="23" fillId="2" borderId="1" xfId="0" applyFont="1" applyFill="1" applyBorder="1" applyAlignment="1">
      <alignment horizontal="center"/>
    </xf>
    <xf numFmtId="0" fontId="24" fillId="2" borderId="1" xfId="0" applyFont="1" applyFill="1" applyBorder="1" applyAlignment="1">
      <alignment horizontal="center"/>
    </xf>
    <xf numFmtId="14" fontId="18" fillId="2" borderId="1" xfId="0" applyNumberFormat="1" applyFont="1" applyFill="1" applyBorder="1" applyAlignment="1">
      <alignment horizontal="center"/>
    </xf>
    <xf numFmtId="0" fontId="18" fillId="2" borderId="1" xfId="0" applyFont="1" applyFill="1" applyBorder="1" applyAlignment="1">
      <alignment horizontal="center" vertical="center"/>
    </xf>
    <xf numFmtId="0" fontId="18" fillId="0" borderId="1" xfId="0" applyFont="1" applyBorder="1" applyAlignment="1">
      <alignment vertical="center" wrapText="1"/>
    </xf>
    <xf numFmtId="0" fontId="18" fillId="2" borderId="1" xfId="0" applyFont="1" applyFill="1" applyBorder="1" applyAlignment="1">
      <alignment horizontal="center" vertical="center" textRotation="90" wrapText="1"/>
    </xf>
    <xf numFmtId="0" fontId="18" fillId="2" borderId="1" xfId="0" applyFont="1" applyFill="1" applyBorder="1" applyAlignment="1">
      <alignment horizontal="center" vertical="center" textRotation="90"/>
    </xf>
    <xf numFmtId="0" fontId="18" fillId="2" borderId="0" xfId="0" applyFont="1" applyFill="1" applyBorder="1" applyAlignment="1">
      <alignment horizontal="center"/>
    </xf>
    <xf numFmtId="0" fontId="18" fillId="2" borderId="0" xfId="0" applyFont="1" applyFill="1" applyBorder="1" applyAlignment="1">
      <alignment horizontal="center" wrapText="1"/>
    </xf>
    <xf numFmtId="14" fontId="18" fillId="2" borderId="0" xfId="0" applyNumberFormat="1" applyFont="1" applyFill="1" applyBorder="1" applyAlignment="1">
      <alignment horizontal="center"/>
    </xf>
    <xf numFmtId="175" fontId="23" fillId="2" borderId="1" xfId="0" applyNumberFormat="1" applyFont="1" applyFill="1" applyBorder="1" applyAlignment="1">
      <alignment horizontal="center"/>
    </xf>
    <xf numFmtId="175" fontId="24" fillId="2" borderId="1" xfId="0" applyNumberFormat="1" applyFont="1" applyFill="1" applyBorder="1" applyAlignment="1">
      <alignment horizontal="center"/>
    </xf>
    <xf numFmtId="175" fontId="18" fillId="2" borderId="1" xfId="0" applyNumberFormat="1" applyFont="1" applyFill="1" applyBorder="1" applyAlignment="1">
      <alignment horizontal="center"/>
    </xf>
    <xf numFmtId="0" fontId="0" fillId="0" borderId="1" xfId="0" applyBorder="1"/>
    <xf numFmtId="0" fontId="20" fillId="0" borderId="1" xfId="0" applyFont="1" applyFill="1" applyBorder="1" applyAlignment="1">
      <alignment horizontal="center" vertical="center" wrapText="1"/>
    </xf>
    <xf numFmtId="0" fontId="0" fillId="0" borderId="0" xfId="0" applyFill="1" applyBorder="1" applyAlignment="1">
      <alignment wrapText="1"/>
    </xf>
    <xf numFmtId="0" fontId="0" fillId="0" borderId="0" xfId="0" applyFill="1"/>
    <xf numFmtId="0" fontId="20" fillId="0" borderId="1" xfId="0" applyFont="1" applyFill="1" applyBorder="1" applyAlignment="1">
      <alignment horizontal="center" vertical="center" textRotation="90" wrapText="1"/>
    </xf>
    <xf numFmtId="0" fontId="24" fillId="0" borderId="0" xfId="0" applyFont="1" applyFill="1" applyBorder="1" applyAlignment="1">
      <alignment horizontal="left" vertical="center" textRotation="90" wrapText="1"/>
    </xf>
    <xf numFmtId="43" fontId="0" fillId="0" borderId="0" xfId="0" applyNumberFormat="1"/>
    <xf numFmtId="0" fontId="29" fillId="0" borderId="0" xfId="0" applyFont="1" applyFill="1" applyAlignment="1">
      <alignment horizontal="center" wrapText="1"/>
    </xf>
    <xf numFmtId="0" fontId="29" fillId="4" borderId="0" xfId="0" applyFont="1" applyFill="1" applyAlignment="1">
      <alignment horizontal="center" wrapText="1"/>
    </xf>
    <xf numFmtId="0" fontId="28" fillId="0" borderId="0" xfId="0" applyFont="1" applyFill="1" applyAlignment="1">
      <alignment horizontal="center" wrapText="1"/>
    </xf>
    <xf numFmtId="0" fontId="0" fillId="0" borderId="0" xfId="0" applyFill="1" applyAlignment="1">
      <alignment horizontal="center" wrapText="1"/>
    </xf>
    <xf numFmtId="0" fontId="0" fillId="5" borderId="0" xfId="0" applyFill="1" applyAlignment="1">
      <alignment horizontal="center" wrapText="1"/>
    </xf>
    <xf numFmtId="0" fontId="0" fillId="6" borderId="0" xfId="0" applyFill="1" applyAlignment="1">
      <alignment horizontal="center" wrapText="1"/>
    </xf>
    <xf numFmtId="0" fontId="29" fillId="7" borderId="0" xfId="0" applyFont="1" applyFill="1" applyAlignment="1">
      <alignment horizontal="center" wrapText="1"/>
    </xf>
    <xf numFmtId="0" fontId="0" fillId="3" borderId="0" xfId="0" applyFill="1" applyAlignment="1">
      <alignment horizontal="center" wrapText="1"/>
    </xf>
    <xf numFmtId="0" fontId="17" fillId="0" borderId="1" xfId="0" applyFont="1" applyFill="1" applyBorder="1"/>
    <xf numFmtId="0" fontId="30" fillId="0" borderId="3" xfId="0" applyFont="1" applyFill="1" applyBorder="1" applyAlignment="1">
      <alignment horizontal="center" vertical="center" textRotation="90" wrapText="1"/>
    </xf>
    <xf numFmtId="0" fontId="29" fillId="7" borderId="4" xfId="0" applyFont="1" applyFill="1" applyBorder="1" applyAlignment="1">
      <alignment horizontal="center" wrapText="1"/>
    </xf>
    <xf numFmtId="0" fontId="0" fillId="0" borderId="4" xfId="0" applyFill="1" applyBorder="1" applyAlignment="1">
      <alignment horizontal="center" wrapText="1"/>
    </xf>
    <xf numFmtId="0" fontId="0" fillId="3" borderId="4" xfId="0" applyFill="1" applyBorder="1" applyAlignment="1">
      <alignment horizontal="center" wrapText="1"/>
    </xf>
    <xf numFmtId="0" fontId="30" fillId="0" borderId="1" xfId="0" applyFont="1" applyFill="1" applyBorder="1" applyAlignment="1">
      <alignment horizontal="center" vertical="center" textRotation="90"/>
    </xf>
    <xf numFmtId="0" fontId="30" fillId="0" borderId="1" xfId="0" applyFont="1" applyFill="1" applyBorder="1" applyAlignment="1">
      <alignment horizontal="center" vertical="center"/>
    </xf>
    <xf numFmtId="0" fontId="30" fillId="0" borderId="5" xfId="0" applyFont="1" applyFill="1" applyBorder="1" applyAlignment="1">
      <alignment horizontal="center" vertical="center" textRotation="90" wrapText="1"/>
    </xf>
    <xf numFmtId="0" fontId="30" fillId="0" borderId="6" xfId="0" applyFont="1" applyFill="1" applyBorder="1" applyAlignment="1">
      <alignment horizontal="center" vertical="center" textRotation="90" wrapText="1"/>
    </xf>
    <xf numFmtId="0" fontId="31" fillId="0" borderId="1" xfId="0" applyFont="1" applyFill="1" applyBorder="1" applyAlignment="1">
      <alignment horizontal="center" vertical="center" textRotation="90" wrapText="1"/>
    </xf>
    <xf numFmtId="0" fontId="31" fillId="7" borderId="5" xfId="0" applyFont="1" applyFill="1" applyBorder="1" applyAlignment="1">
      <alignment horizontal="center" vertical="center" textRotation="90" wrapText="1"/>
    </xf>
    <xf numFmtId="0" fontId="31" fillId="0" borderId="5" xfId="0" applyFont="1" applyFill="1" applyBorder="1" applyAlignment="1">
      <alignment horizontal="center" vertical="center" textRotation="90" wrapText="1"/>
    </xf>
    <xf numFmtId="0" fontId="31" fillId="3" borderId="5" xfId="0" applyFont="1" applyFill="1" applyBorder="1" applyAlignment="1">
      <alignment horizontal="center" vertical="center" textRotation="90" wrapText="1"/>
    </xf>
    <xf numFmtId="0" fontId="32" fillId="7" borderId="1" xfId="0" applyFont="1" applyFill="1" applyBorder="1" applyAlignment="1">
      <alignment wrapText="1"/>
    </xf>
    <xf numFmtId="0" fontId="16" fillId="0" borderId="1" xfId="0" applyFont="1" applyFill="1" applyBorder="1" applyAlignment="1">
      <alignment horizontal="center" vertical="center"/>
    </xf>
    <xf numFmtId="2" fontId="16" fillId="0" borderId="1" xfId="0" applyNumberFormat="1" applyFont="1" applyFill="1" applyBorder="1" applyAlignment="1">
      <alignment horizontal="center" vertical="center"/>
    </xf>
    <xf numFmtId="43" fontId="16" fillId="5" borderId="1" xfId="0" applyNumberFormat="1" applyFont="1" applyFill="1" applyBorder="1" applyAlignment="1">
      <alignment horizontal="center" vertical="center"/>
    </xf>
    <xf numFmtId="172" fontId="16" fillId="7"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xf>
    <xf numFmtId="49" fontId="16" fillId="3"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xf>
    <xf numFmtId="4" fontId="0" fillId="0" borderId="1" xfId="0" applyNumberFormat="1" applyFill="1" applyBorder="1"/>
    <xf numFmtId="0" fontId="9" fillId="0" borderId="1" xfId="0" applyFont="1" applyFill="1" applyBorder="1" applyAlignment="1">
      <alignment horizontal="center" vertical="center"/>
    </xf>
    <xf numFmtId="0" fontId="9" fillId="8" borderId="1" xfId="0" applyFont="1" applyFill="1" applyBorder="1" applyAlignment="1">
      <alignment horizontal="center" vertical="center"/>
    </xf>
    <xf numFmtId="2" fontId="10" fillId="0" borderId="7" xfId="0" applyNumberFormat="1" applyFont="1" applyFill="1" applyBorder="1" applyAlignment="1">
      <alignment horizontal="left" vertical="center" wrapText="1"/>
    </xf>
    <xf numFmtId="0" fontId="10" fillId="0" borderId="1" xfId="0" applyFont="1" applyFill="1" applyBorder="1" applyAlignment="1">
      <alignment horizontal="center" vertical="center"/>
    </xf>
    <xf numFmtId="0" fontId="10" fillId="7" borderId="7" xfId="0" applyFont="1" applyFill="1" applyBorder="1" applyAlignment="1">
      <alignment horizontal="center" vertical="center"/>
    </xf>
    <xf numFmtId="0" fontId="10" fillId="0" borderId="7" xfId="0" applyFont="1" applyFill="1" applyBorder="1" applyAlignment="1">
      <alignment horizontal="center" vertical="center"/>
    </xf>
    <xf numFmtId="43" fontId="10" fillId="0" borderId="7" xfId="0" applyNumberFormat="1" applyFont="1" applyFill="1" applyBorder="1" applyAlignment="1">
      <alignment horizontal="center" vertical="center"/>
    </xf>
    <xf numFmtId="43" fontId="10" fillId="0" borderId="1" xfId="0" applyNumberFormat="1" applyFont="1" applyFill="1" applyBorder="1" applyAlignment="1">
      <alignment horizontal="center" vertical="center"/>
    </xf>
    <xf numFmtId="43" fontId="10" fillId="5" borderId="7" xfId="0" applyNumberFormat="1" applyFont="1" applyFill="1" applyBorder="1" applyAlignment="1">
      <alignment horizontal="center" vertical="center"/>
    </xf>
    <xf numFmtId="2" fontId="33" fillId="0" borderId="1" xfId="0" applyNumberFormat="1" applyFont="1" applyFill="1" applyBorder="1" applyAlignment="1">
      <alignment horizontal="center" wrapText="1"/>
    </xf>
    <xf numFmtId="2" fontId="10" fillId="0" borderId="1" xfId="0" applyNumberFormat="1" applyFont="1" applyFill="1" applyBorder="1" applyAlignment="1">
      <alignment horizontal="center" vertical="center"/>
    </xf>
    <xf numFmtId="172" fontId="34" fillId="7"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49" fontId="10" fillId="7" borderId="1" xfId="0" applyNumberFormat="1" applyFont="1" applyFill="1" applyBorder="1" applyAlignment="1">
      <alignment horizontal="center" vertical="center" wrapText="1"/>
    </xf>
    <xf numFmtId="2" fontId="10" fillId="9" borderId="7" xfId="0" applyNumberFormat="1" applyFont="1" applyFill="1" applyBorder="1" applyAlignment="1">
      <alignment horizontal="left" vertical="center" wrapText="1"/>
    </xf>
    <xf numFmtId="2" fontId="33" fillId="8" borderId="1" xfId="0" applyNumberFormat="1" applyFont="1" applyFill="1" applyBorder="1" applyAlignment="1">
      <alignment horizontal="center" wrapText="1"/>
    </xf>
    <xf numFmtId="49" fontId="10" fillId="9" borderId="1" xfId="0" applyNumberFormat="1" applyFont="1" applyFill="1" applyBorder="1" applyAlignment="1">
      <alignment horizontal="center" vertical="center" wrapText="1"/>
    </xf>
    <xf numFmtId="172" fontId="34" fillId="9"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2" fontId="10" fillId="10" borderId="7" xfId="0" applyNumberFormat="1" applyFont="1" applyFill="1" applyBorder="1" applyAlignment="1">
      <alignment horizontal="left" vertical="center" wrapText="1"/>
    </xf>
    <xf numFmtId="0" fontId="10" fillId="10" borderId="1" xfId="0" applyFont="1" applyFill="1" applyBorder="1" applyAlignment="1">
      <alignment horizontal="center" vertical="center"/>
    </xf>
    <xf numFmtId="0" fontId="10" fillId="10" borderId="7" xfId="0" applyFont="1" applyFill="1" applyBorder="1" applyAlignment="1">
      <alignment horizontal="center" vertical="center"/>
    </xf>
    <xf numFmtId="43" fontId="10" fillId="10" borderId="7" xfId="0" applyNumberFormat="1" applyFont="1" applyFill="1" applyBorder="1" applyAlignment="1">
      <alignment horizontal="center" vertical="center"/>
    </xf>
    <xf numFmtId="43" fontId="10" fillId="10" borderId="1" xfId="0" applyNumberFormat="1" applyFont="1" applyFill="1" applyBorder="1" applyAlignment="1">
      <alignment horizontal="center" vertical="center"/>
    </xf>
    <xf numFmtId="2" fontId="17" fillId="10" borderId="1" xfId="0" applyNumberFormat="1" applyFont="1" applyFill="1" applyBorder="1" applyAlignment="1">
      <alignment horizontal="center" wrapText="1"/>
    </xf>
    <xf numFmtId="2" fontId="10" fillId="10" borderId="1" xfId="0" applyNumberFormat="1" applyFont="1" applyFill="1" applyBorder="1" applyAlignment="1">
      <alignment horizontal="center" vertical="center"/>
    </xf>
    <xf numFmtId="172" fontId="34" fillId="10" borderId="1" xfId="0" applyNumberFormat="1" applyFont="1" applyFill="1" applyBorder="1" applyAlignment="1">
      <alignment horizontal="center" vertical="center"/>
    </xf>
    <xf numFmtId="49" fontId="10" fillId="10" borderId="1" xfId="0" applyNumberFormat="1" applyFont="1" applyFill="1" applyBorder="1" applyAlignment="1">
      <alignment horizontal="center" vertical="center"/>
    </xf>
    <xf numFmtId="49" fontId="10" fillId="10" borderId="1" xfId="0" applyNumberFormat="1" applyFont="1" applyFill="1" applyBorder="1" applyAlignment="1">
      <alignment horizontal="center" vertical="center" wrapText="1"/>
    </xf>
    <xf numFmtId="2" fontId="0" fillId="10" borderId="1" xfId="0" applyNumberFormat="1" applyFill="1" applyBorder="1" applyAlignment="1">
      <alignment horizontal="center"/>
    </xf>
    <xf numFmtId="4" fontId="0" fillId="10" borderId="1" xfId="0" applyNumberFormat="1" applyFill="1" applyBorder="1"/>
    <xf numFmtId="0" fontId="10" fillId="8" borderId="1" xfId="0" applyFont="1" applyFill="1" applyBorder="1" applyAlignment="1">
      <alignment horizontal="center" vertical="center"/>
    </xf>
    <xf numFmtId="0" fontId="35" fillId="0" borderId="1" xfId="0" applyFont="1" applyFill="1" applyBorder="1" applyAlignment="1">
      <alignment horizontal="center" wrapText="1"/>
    </xf>
    <xf numFmtId="49" fontId="10" fillId="8" borderId="1" xfId="0" applyNumberFormat="1" applyFont="1" applyFill="1" applyBorder="1" applyAlignment="1">
      <alignment horizontal="center" vertical="center"/>
    </xf>
    <xf numFmtId="0" fontId="10" fillId="6" borderId="7" xfId="0" applyFont="1" applyFill="1" applyBorder="1" applyAlignment="1">
      <alignment horizontal="center" vertical="center"/>
    </xf>
    <xf numFmtId="2" fontId="17" fillId="6" borderId="1" xfId="0" applyNumberFormat="1" applyFont="1" applyFill="1" applyBorder="1" applyAlignment="1">
      <alignment wrapText="1"/>
    </xf>
    <xf numFmtId="49" fontId="10" fillId="4" borderId="1" xfId="0" applyNumberFormat="1" applyFont="1" applyFill="1" applyBorder="1" applyAlignment="1">
      <alignment horizontal="center" vertical="center" wrapText="1"/>
    </xf>
    <xf numFmtId="0" fontId="10" fillId="11" borderId="7" xfId="0" applyFont="1" applyFill="1" applyBorder="1" applyAlignment="1">
      <alignment horizontal="center" vertical="center"/>
    </xf>
    <xf numFmtId="0" fontId="17" fillId="0" borderId="1" xfId="0" applyFont="1" applyFill="1" applyBorder="1" applyAlignment="1">
      <alignment wrapText="1"/>
    </xf>
    <xf numFmtId="0" fontId="10" fillId="4" borderId="7" xfId="0" applyFont="1" applyFill="1" applyBorder="1" applyAlignment="1">
      <alignment horizontal="center" vertical="center"/>
    </xf>
    <xf numFmtId="2" fontId="17" fillId="4" borderId="1" xfId="0" applyNumberFormat="1" applyFont="1" applyFill="1" applyBorder="1" applyAlignment="1">
      <alignment wrapText="1"/>
    </xf>
    <xf numFmtId="2" fontId="34" fillId="7" borderId="7" xfId="0" applyNumberFormat="1" applyFont="1" applyFill="1" applyBorder="1" applyAlignment="1">
      <alignment horizontal="left" vertical="center" wrapText="1"/>
    </xf>
    <xf numFmtId="0" fontId="34" fillId="0" borderId="1" xfId="0" applyFont="1" applyFill="1" applyBorder="1" applyAlignment="1">
      <alignment horizontal="center" vertical="center"/>
    </xf>
    <xf numFmtId="43" fontId="34" fillId="0" borderId="1" xfId="0" applyNumberFormat="1" applyFont="1" applyFill="1" applyBorder="1" applyAlignment="1">
      <alignment horizontal="center" vertical="center"/>
    </xf>
    <xf numFmtId="43" fontId="34" fillId="5" borderId="1" xfId="0" applyNumberFormat="1" applyFont="1" applyFill="1" applyBorder="1" applyAlignment="1">
      <alignment horizontal="center" vertical="center"/>
    </xf>
    <xf numFmtId="49" fontId="34" fillId="0" borderId="1" xfId="0" applyNumberFormat="1" applyFont="1" applyFill="1" applyBorder="1" applyAlignment="1">
      <alignment horizontal="center" vertical="center"/>
    </xf>
    <xf numFmtId="49" fontId="34" fillId="3" borderId="1" xfId="0" applyNumberFormat="1" applyFont="1" applyFill="1" applyBorder="1" applyAlignment="1">
      <alignment horizontal="center" vertical="center" wrapText="1"/>
    </xf>
    <xf numFmtId="49" fontId="34" fillId="0" borderId="1" xfId="0" applyNumberFormat="1" applyFont="1" applyFill="1" applyBorder="1" applyAlignment="1">
      <alignment horizontal="center" vertical="center" wrapText="1"/>
    </xf>
    <xf numFmtId="2" fontId="10" fillId="0" borderId="7" xfId="0" applyNumberFormat="1" applyFont="1" applyFill="1" applyBorder="1" applyAlignment="1">
      <alignment horizontal="center" vertical="center" wrapText="1"/>
    </xf>
    <xf numFmtId="0" fontId="10" fillId="12" borderId="7" xfId="0" applyFont="1" applyFill="1" applyBorder="1" applyAlignment="1">
      <alignment horizontal="center" vertical="center"/>
    </xf>
    <xf numFmtId="43" fontId="10" fillId="12" borderId="7" xfId="0" applyNumberFormat="1" applyFont="1" applyFill="1" applyBorder="1" applyAlignment="1">
      <alignment horizontal="center" vertical="center"/>
    </xf>
    <xf numFmtId="2" fontId="10" fillId="9" borderId="7"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2" fontId="10" fillId="4" borderId="7" xfId="0" applyNumberFormat="1" applyFont="1" applyFill="1" applyBorder="1" applyAlignment="1">
      <alignment horizontal="left" vertical="center" wrapText="1"/>
    </xf>
    <xf numFmtId="0" fontId="10" fillId="13" borderId="7" xfId="0" applyFont="1" applyFill="1" applyBorder="1" applyAlignment="1">
      <alignment horizontal="center" vertical="center"/>
    </xf>
    <xf numFmtId="0" fontId="10" fillId="14" borderId="7" xfId="0" applyFont="1" applyFill="1" applyBorder="1" applyAlignment="1">
      <alignment horizontal="center" vertical="center"/>
    </xf>
    <xf numFmtId="43" fontId="10" fillId="14" borderId="7" xfId="0" applyNumberFormat="1" applyFont="1" applyFill="1" applyBorder="1" applyAlignment="1">
      <alignment horizontal="center" vertical="center"/>
    </xf>
    <xf numFmtId="0" fontId="17" fillId="4" borderId="1" xfId="0" applyFont="1" applyFill="1" applyBorder="1" applyAlignment="1">
      <alignment wrapText="1"/>
    </xf>
    <xf numFmtId="172" fontId="34" fillId="8" borderId="1" xfId="0" applyNumberFormat="1" applyFont="1" applyFill="1" applyBorder="1" applyAlignment="1">
      <alignment horizontal="center" vertical="center"/>
    </xf>
    <xf numFmtId="0" fontId="10" fillId="3" borderId="7" xfId="0" applyFont="1" applyFill="1" applyBorder="1" applyAlignment="1">
      <alignment horizontal="center" vertical="center"/>
    </xf>
    <xf numFmtId="0" fontId="10" fillId="15" borderId="7" xfId="0" applyFont="1" applyFill="1" applyBorder="1" applyAlignment="1">
      <alignment horizontal="center" vertical="center"/>
    </xf>
    <xf numFmtId="2" fontId="10" fillId="6" borderId="1" xfId="0" applyNumberFormat="1" applyFont="1" applyFill="1" applyBorder="1" applyAlignment="1">
      <alignment horizontal="center" vertical="center"/>
    </xf>
    <xf numFmtId="2" fontId="34" fillId="0" borderId="1" xfId="0" applyNumberFormat="1" applyFont="1" applyFill="1" applyBorder="1" applyAlignment="1">
      <alignment horizontal="center" vertical="center"/>
    </xf>
    <xf numFmtId="0" fontId="10" fillId="16" borderId="7" xfId="0" applyFont="1" applyFill="1" applyBorder="1" applyAlignment="1">
      <alignment horizontal="center" vertical="center"/>
    </xf>
    <xf numFmtId="43" fontId="10" fillId="16" borderId="7" xfId="0" applyNumberFormat="1" applyFont="1" applyFill="1" applyBorder="1" applyAlignment="1">
      <alignment horizontal="center" vertical="center"/>
    </xf>
    <xf numFmtId="43" fontId="10" fillId="5" borderId="1" xfId="0" applyNumberFormat="1" applyFont="1" applyFill="1" applyBorder="1" applyAlignment="1">
      <alignment horizontal="center" vertical="center"/>
    </xf>
    <xf numFmtId="0" fontId="9" fillId="3" borderId="7" xfId="0" applyFont="1" applyFill="1" applyBorder="1" applyAlignment="1">
      <alignment horizontal="center" vertical="center"/>
    </xf>
    <xf numFmtId="43" fontId="10" fillId="17" borderId="7" xfId="0" applyNumberFormat="1" applyFont="1" applyFill="1" applyBorder="1" applyAlignment="1">
      <alignment horizontal="center" vertical="center"/>
    </xf>
    <xf numFmtId="1" fontId="34" fillId="0" borderId="1" xfId="0" applyNumberFormat="1" applyFont="1" applyFill="1" applyBorder="1" applyAlignment="1">
      <alignment horizontal="center" vertical="center"/>
    </xf>
    <xf numFmtId="2" fontId="10" fillId="4" borderId="1" xfId="0" applyNumberFormat="1" applyFont="1" applyFill="1" applyBorder="1" applyAlignment="1">
      <alignment horizontal="center" vertical="center"/>
    </xf>
    <xf numFmtId="169" fontId="0" fillId="0" borderId="1" xfId="0" applyNumberFormat="1" applyFill="1" applyBorder="1" applyAlignment="1">
      <alignment horizontal="center"/>
    </xf>
    <xf numFmtId="2" fontId="10" fillId="6" borderId="7"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xf>
    <xf numFmtId="2" fontId="10" fillId="0" borderId="7" xfId="0" applyNumberFormat="1" applyFont="1" applyFill="1" applyBorder="1" applyAlignment="1">
      <alignment horizontal="center" vertical="center"/>
    </xf>
    <xf numFmtId="2" fontId="10" fillId="5" borderId="7" xfId="0" applyNumberFormat="1" applyFont="1" applyFill="1" applyBorder="1" applyAlignment="1">
      <alignment horizontal="center" vertical="center"/>
    </xf>
    <xf numFmtId="2" fontId="34" fillId="7" borderId="1"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7" fillId="0" borderId="0" xfId="0" applyFont="1" applyFill="1"/>
    <xf numFmtId="0" fontId="0" fillId="5" borderId="0" xfId="0" applyFill="1"/>
    <xf numFmtId="0" fontId="29" fillId="7" borderId="0" xfId="0" applyFont="1" applyFill="1"/>
    <xf numFmtId="0" fontId="39" fillId="0" borderId="1" xfId="1" applyFont="1" applyFill="1" applyBorder="1" applyAlignment="1">
      <alignment horizontal="center" vertical="center"/>
    </xf>
    <xf numFmtId="0" fontId="42" fillId="0" borderId="7" xfId="0" applyFont="1" applyFill="1" applyBorder="1" applyAlignment="1">
      <alignment horizontal="center" vertical="center"/>
    </xf>
    <xf numFmtId="2" fontId="10" fillId="5" borderId="1" xfId="0" applyNumberFormat="1" applyFont="1" applyFill="1" applyBorder="1" applyAlignment="1">
      <alignment horizontal="center" vertical="center"/>
    </xf>
    <xf numFmtId="2" fontId="10" fillId="3" borderId="7" xfId="0" applyNumberFormat="1" applyFont="1" applyFill="1" applyBorder="1" applyAlignment="1">
      <alignment horizontal="left" vertical="center" wrapText="1"/>
    </xf>
    <xf numFmtId="0" fontId="43" fillId="0" borderId="1" xfId="0" applyFont="1" applyFill="1" applyBorder="1"/>
    <xf numFmtId="0" fontId="43" fillId="0" borderId="1" xfId="0" applyFont="1" applyFill="1" applyBorder="1" applyAlignment="1">
      <alignment wrapText="1"/>
    </xf>
    <xf numFmtId="0" fontId="44" fillId="0" borderId="1" xfId="1" applyFont="1" applyFill="1" applyBorder="1" applyAlignment="1">
      <alignment horizontal="center" vertical="center"/>
    </xf>
    <xf numFmtId="0" fontId="34" fillId="5" borderId="1" xfId="0" applyFont="1" applyFill="1" applyBorder="1" applyAlignment="1">
      <alignment horizontal="center" vertical="center"/>
    </xf>
    <xf numFmtId="2" fontId="34" fillId="7" borderId="7" xfId="0" applyNumberFormat="1" applyFont="1" applyFill="1" applyBorder="1" applyAlignment="1">
      <alignment horizontal="center" vertical="center"/>
    </xf>
    <xf numFmtId="2" fontId="10" fillId="3" borderId="7" xfId="0" applyNumberFormat="1" applyFont="1" applyFill="1" applyBorder="1" applyAlignment="1">
      <alignment horizontal="center" vertical="center"/>
    </xf>
    <xf numFmtId="0" fontId="45" fillId="0" borderId="1" xfId="0" applyFont="1" applyFill="1" applyBorder="1"/>
    <xf numFmtId="0" fontId="43" fillId="0" borderId="0" xfId="0" applyFont="1" applyFill="1"/>
    <xf numFmtId="0" fontId="48"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43" fontId="0" fillId="0" borderId="0" xfId="0" applyNumberFormat="1" applyFill="1"/>
    <xf numFmtId="0" fontId="17" fillId="0" borderId="8" xfId="0" applyFont="1" applyBorder="1" applyAlignment="1">
      <alignment horizontal="center" vertical="top" wrapText="1"/>
    </xf>
    <xf numFmtId="0" fontId="17" fillId="0" borderId="9" xfId="0" applyFont="1" applyBorder="1" applyAlignment="1">
      <alignment horizontal="center" vertical="top" wrapText="1"/>
    </xf>
    <xf numFmtId="0" fontId="17" fillId="0" borderId="0" xfId="0" applyFont="1" applyFill="1" applyBorder="1" applyAlignment="1">
      <alignment horizontal="center" vertical="top" wrapText="1"/>
    </xf>
    <xf numFmtId="43" fontId="17" fillId="0" borderId="10" xfId="0" applyNumberFormat="1" applyFont="1" applyBorder="1" applyAlignment="1">
      <alignment vertical="top" wrapText="1"/>
    </xf>
    <xf numFmtId="43" fontId="17" fillId="0" borderId="11" xfId="0" applyNumberFormat="1" applyFont="1" applyBorder="1" applyAlignment="1">
      <alignment vertical="top" wrapText="1"/>
    </xf>
    <xf numFmtId="0" fontId="0" fillId="0" borderId="12" xfId="0" applyBorder="1"/>
    <xf numFmtId="0" fontId="0" fillId="0" borderId="13" xfId="0" applyBorder="1"/>
    <xf numFmtId="0" fontId="0" fillId="0" borderId="14" xfId="0" applyBorder="1"/>
    <xf numFmtId="0" fontId="0" fillId="0" borderId="15" xfId="0" applyBorder="1"/>
    <xf numFmtId="0" fontId="0" fillId="0" borderId="0" xfId="0" applyBorder="1"/>
    <xf numFmtId="0" fontId="0" fillId="0" borderId="16" xfId="0" applyBorder="1"/>
    <xf numFmtId="14" fontId="0" fillId="0" borderId="15" xfId="0" applyNumberFormat="1" applyBorder="1"/>
    <xf numFmtId="14" fontId="0" fillId="0" borderId="0" xfId="0" applyNumberFormat="1" applyBorder="1"/>
    <xf numFmtId="0" fontId="0" fillId="0" borderId="17" xfId="0" applyBorder="1"/>
    <xf numFmtId="0" fontId="0" fillId="0" borderId="18" xfId="0" applyBorder="1"/>
    <xf numFmtId="43" fontId="17" fillId="0" borderId="18" xfId="0" applyNumberFormat="1" applyFont="1" applyBorder="1" applyAlignment="1">
      <alignment vertical="top"/>
    </xf>
    <xf numFmtId="0" fontId="0" fillId="0" borderId="19" xfId="0" applyBorder="1"/>
    <xf numFmtId="0" fontId="17" fillId="0" borderId="13" xfId="0" applyFont="1" applyFill="1" applyBorder="1" applyAlignment="1">
      <alignment horizontal="center" vertical="top" wrapText="1"/>
    </xf>
    <xf numFmtId="43" fontId="17" fillId="0" borderId="13" xfId="0" applyNumberFormat="1" applyFont="1" applyFill="1" applyBorder="1" applyAlignment="1">
      <alignment vertical="top"/>
    </xf>
    <xf numFmtId="43" fontId="17" fillId="0" borderId="0" xfId="0" applyNumberFormat="1" applyFont="1" applyBorder="1" applyAlignment="1">
      <alignment vertical="top"/>
    </xf>
    <xf numFmtId="43" fontId="0" fillId="0" borderId="0" xfId="0" applyNumberFormat="1" applyBorder="1"/>
    <xf numFmtId="0" fontId="29" fillId="0" borderId="5" xfId="0" applyFont="1" applyBorder="1"/>
    <xf numFmtId="43" fontId="17" fillId="0" borderId="13" xfId="0" applyNumberFormat="1" applyFont="1" applyBorder="1" applyAlignment="1">
      <alignment vertical="top"/>
    </xf>
    <xf numFmtId="0" fontId="17" fillId="0" borderId="18" xfId="0" applyFont="1" applyFill="1" applyBorder="1" applyAlignment="1">
      <alignment horizontal="center" vertical="top" wrapText="1"/>
    </xf>
    <xf numFmtId="43" fontId="0" fillId="3" borderId="0" xfId="0" applyNumberFormat="1" applyFill="1"/>
    <xf numFmtId="0" fontId="0" fillId="0" borderId="0" xfId="0" applyAlignment="1">
      <alignment horizontal="center" wrapText="1"/>
    </xf>
    <xf numFmtId="0" fontId="17" fillId="0" borderId="1" xfId="0" applyFont="1" applyBorder="1"/>
    <xf numFmtId="0" fontId="30" fillId="0" borderId="1" xfId="0" applyFont="1" applyBorder="1" applyAlignment="1">
      <alignment horizontal="center" vertical="center" textRotation="90"/>
    </xf>
    <xf numFmtId="0" fontId="30" fillId="0" borderId="1" xfId="0" applyFont="1" applyBorder="1" applyAlignment="1">
      <alignment horizontal="center" vertical="center"/>
    </xf>
    <xf numFmtId="0" fontId="30" fillId="0" borderId="6" xfId="0" applyFont="1" applyBorder="1" applyAlignment="1">
      <alignment horizontal="center" vertical="center" textRotation="90" wrapText="1"/>
    </xf>
    <xf numFmtId="0" fontId="31" fillId="0" borderId="1" xfId="0" applyFont="1" applyBorder="1" applyAlignment="1">
      <alignment horizontal="center" vertical="center" textRotation="90" wrapText="1"/>
    </xf>
    <xf numFmtId="0" fontId="51" fillId="0" borderId="0" xfId="0" applyFont="1" applyAlignment="1">
      <alignment wrapText="1"/>
    </xf>
    <xf numFmtId="0" fontId="17" fillId="3" borderId="1" xfId="0" applyFont="1" applyFill="1" applyBorder="1"/>
    <xf numFmtId="2" fontId="34" fillId="3" borderId="7" xfId="0" applyNumberFormat="1" applyFont="1" applyFill="1" applyBorder="1" applyAlignment="1">
      <alignment horizontal="left" vertical="center" wrapText="1"/>
    </xf>
    <xf numFmtId="0" fontId="16" fillId="3" borderId="1" xfId="0" applyFont="1" applyFill="1" applyBorder="1" applyAlignment="1">
      <alignment horizontal="center" vertical="center"/>
    </xf>
    <xf numFmtId="2" fontId="16" fillId="3" borderId="1" xfId="0" applyNumberFormat="1" applyFont="1" applyFill="1" applyBorder="1" applyAlignment="1">
      <alignment horizontal="center" vertical="center"/>
    </xf>
    <xf numFmtId="14" fontId="17" fillId="0" borderId="1" xfId="0" applyNumberFormat="1" applyFont="1" applyBorder="1" applyAlignment="1">
      <alignment wrapText="1"/>
    </xf>
    <xf numFmtId="0" fontId="16" fillId="3" borderId="1" xfId="0" applyNumberFormat="1" applyFont="1" applyFill="1" applyBorder="1" applyAlignment="1">
      <alignment horizontal="center" vertical="center"/>
    </xf>
    <xf numFmtId="0" fontId="0" fillId="4" borderId="0" xfId="0" applyFill="1"/>
    <xf numFmtId="0" fontId="9" fillId="0" borderId="1" xfId="0" applyFont="1" applyBorder="1" applyAlignment="1">
      <alignment horizontal="center" vertical="center"/>
    </xf>
    <xf numFmtId="2" fontId="10" fillId="2" borderId="7" xfId="0" applyNumberFormat="1" applyFont="1" applyFill="1" applyBorder="1" applyAlignment="1">
      <alignment horizontal="left" vertical="center" wrapText="1"/>
    </xf>
    <xf numFmtId="2" fontId="10" fillId="2" borderId="7" xfId="0" applyNumberFormat="1" applyFont="1" applyFill="1" applyBorder="1" applyAlignment="1">
      <alignment horizontal="center" vertical="center"/>
    </xf>
    <xf numFmtId="2" fontId="10" fillId="2" borderId="1" xfId="0" applyNumberFormat="1" applyFont="1" applyFill="1" applyBorder="1" applyAlignment="1">
      <alignment horizontal="center" vertical="center"/>
    </xf>
    <xf numFmtId="2" fontId="33" fillId="0" borderId="1" xfId="0" applyNumberFormat="1" applyFont="1" applyBorder="1" applyAlignment="1">
      <alignment horizontal="center" wrapText="1"/>
    </xf>
    <xf numFmtId="0" fontId="10" fillId="0" borderId="1" xfId="0" applyNumberFormat="1" applyFont="1" applyFill="1" applyBorder="1" applyAlignment="1">
      <alignment horizontal="center" vertical="center"/>
    </xf>
    <xf numFmtId="0" fontId="9" fillId="0" borderId="1" xfId="0" applyNumberFormat="1" applyFont="1" applyBorder="1" applyAlignment="1">
      <alignment horizontal="center"/>
    </xf>
    <xf numFmtId="2" fontId="17" fillId="0" borderId="1" xfId="0" applyNumberFormat="1" applyFont="1" applyFill="1" applyBorder="1" applyAlignment="1">
      <alignment horizontal="center" wrapText="1"/>
    </xf>
    <xf numFmtId="0" fontId="9"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34" fillId="3" borderId="1" xfId="0" applyFont="1" applyFill="1" applyBorder="1" applyAlignment="1">
      <alignment horizontal="center" vertical="center"/>
    </xf>
    <xf numFmtId="2" fontId="34" fillId="3" borderId="1" xfId="0" applyNumberFormat="1" applyFont="1" applyFill="1" applyBorder="1" applyAlignment="1">
      <alignment horizontal="center" vertical="center"/>
    </xf>
    <xf numFmtId="0" fontId="34" fillId="3" borderId="1" xfId="0" applyNumberFormat="1" applyFont="1" applyFill="1" applyBorder="1" applyAlignment="1">
      <alignment horizontal="center" vertical="center"/>
    </xf>
    <xf numFmtId="2" fontId="42" fillId="2" borderId="7" xfId="0" applyNumberFormat="1" applyFont="1" applyFill="1" applyBorder="1" applyAlignment="1">
      <alignment horizontal="center" vertical="center"/>
    </xf>
    <xf numFmtId="2" fontId="10" fillId="3" borderId="1" xfId="0" applyNumberFormat="1" applyFont="1" applyFill="1" applyBorder="1" applyAlignment="1">
      <alignment horizontal="center" vertical="center"/>
    </xf>
    <xf numFmtId="0" fontId="17" fillId="0" borderId="1" xfId="0" applyFont="1" applyBorder="1" applyAlignment="1">
      <alignment wrapText="1"/>
    </xf>
    <xf numFmtId="0" fontId="10" fillId="2" borderId="1" xfId="0" applyNumberFormat="1" applyFont="1" applyFill="1" applyBorder="1" applyAlignment="1">
      <alignment horizontal="center" vertical="center"/>
    </xf>
    <xf numFmtId="0" fontId="10" fillId="0" borderId="1" xfId="0" applyNumberFormat="1" applyFont="1" applyBorder="1" applyAlignment="1">
      <alignment horizontal="center"/>
    </xf>
    <xf numFmtId="0" fontId="9"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7" fillId="0" borderId="0" xfId="0" applyFont="1"/>
    <xf numFmtId="0" fontId="17" fillId="0" borderId="0" xfId="0" applyFont="1" applyFill="1"/>
    <xf numFmtId="2" fontId="0" fillId="0" borderId="0" xfId="0" applyNumberFormat="1"/>
    <xf numFmtId="0" fontId="32" fillId="3" borderId="1" xfId="0" applyFont="1" applyFill="1" applyBorder="1" applyAlignment="1">
      <alignment wrapText="1"/>
    </xf>
    <xf numFmtId="14" fontId="17" fillId="0" borderId="1" xfId="0" applyNumberFormat="1" applyFont="1" applyFill="1" applyBorder="1" applyAlignment="1">
      <alignment wrapText="1"/>
    </xf>
    <xf numFmtId="0" fontId="17" fillId="0" borderId="1" xfId="0" applyNumberFormat="1" applyFont="1" applyFill="1" applyBorder="1" applyAlignment="1">
      <alignment wrapText="1"/>
    </xf>
    <xf numFmtId="14" fontId="17" fillId="3" borderId="1" xfId="0" applyNumberFormat="1" applyFont="1" applyFill="1" applyBorder="1" applyAlignment="1">
      <alignment wrapText="1"/>
    </xf>
    <xf numFmtId="0" fontId="17" fillId="3" borderId="1" xfId="0" applyNumberFormat="1" applyFont="1" applyFill="1" applyBorder="1" applyAlignment="1">
      <alignment wrapText="1"/>
    </xf>
    <xf numFmtId="14" fontId="17" fillId="9" borderId="1" xfId="0" applyNumberFormat="1" applyFont="1" applyFill="1" applyBorder="1" applyAlignment="1">
      <alignment wrapText="1"/>
    </xf>
    <xf numFmtId="2" fontId="42" fillId="7" borderId="7" xfId="0" applyNumberFormat="1" applyFont="1" applyFill="1" applyBorder="1" applyAlignment="1">
      <alignment horizontal="left" vertical="center" wrapText="1"/>
    </xf>
    <xf numFmtId="0" fontId="10" fillId="7" borderId="1" xfId="0" applyFont="1" applyFill="1" applyBorder="1" applyAlignment="1">
      <alignment horizontal="center" vertical="center"/>
    </xf>
    <xf numFmtId="2" fontId="10" fillId="7" borderId="7" xfId="0" applyNumberFormat="1" applyFont="1" applyFill="1" applyBorder="1" applyAlignment="1">
      <alignment horizontal="center" vertical="center"/>
    </xf>
    <xf numFmtId="2" fontId="10" fillId="7" borderId="1" xfId="0" applyNumberFormat="1" applyFont="1" applyFill="1" applyBorder="1" applyAlignment="1">
      <alignment horizontal="center" vertical="center"/>
    </xf>
    <xf numFmtId="0" fontId="17" fillId="9" borderId="1" xfId="0" applyNumberFormat="1" applyFont="1" applyFill="1" applyBorder="1" applyAlignment="1">
      <alignment wrapText="1"/>
    </xf>
    <xf numFmtId="173" fontId="22" fillId="0" borderId="1" xfId="0" applyNumberFormat="1" applyFont="1" applyFill="1" applyBorder="1" applyAlignment="1">
      <alignment horizontal="center" vertical="center" wrapText="1"/>
    </xf>
    <xf numFmtId="173" fontId="20" fillId="0" borderId="1" xfId="0" applyNumberFormat="1" applyFont="1" applyFill="1" applyBorder="1" applyAlignment="1">
      <alignment horizontal="center" vertical="center" wrapText="1"/>
    </xf>
    <xf numFmtId="173" fontId="20" fillId="0" borderId="1" xfId="0" applyNumberFormat="1" applyFont="1" applyFill="1" applyBorder="1" applyAlignment="1">
      <alignment vertical="center" wrapText="1"/>
    </xf>
    <xf numFmtId="0" fontId="22" fillId="3" borderId="1" xfId="0" applyFont="1" applyFill="1" applyBorder="1" applyAlignment="1">
      <alignment horizontal="center" vertical="center" wrapText="1"/>
    </xf>
    <xf numFmtId="174" fontId="22" fillId="3" borderId="1" xfId="0" applyNumberFormat="1" applyFont="1" applyFill="1" applyBorder="1" applyAlignment="1">
      <alignment horizontal="center" vertical="center" wrapText="1"/>
    </xf>
    <xf numFmtId="43" fontId="22" fillId="3" borderId="1" xfId="0" applyNumberFormat="1" applyFont="1" applyFill="1" applyBorder="1" applyAlignment="1">
      <alignment horizontal="center" vertical="center" wrapText="1"/>
    </xf>
    <xf numFmtId="0" fontId="10" fillId="0" borderId="0" xfId="0" applyFont="1" applyFill="1" applyAlignment="1">
      <alignment horizontal="left" vertical="top"/>
    </xf>
    <xf numFmtId="0" fontId="10" fillId="0" borderId="0" xfId="0" applyFont="1" applyFill="1" applyAlignment="1">
      <alignment horizontal="justify"/>
    </xf>
    <xf numFmtId="0" fontId="0" fillId="0" borderId="0" xfId="0" applyFill="1" applyAlignment="1"/>
    <xf numFmtId="0" fontId="16" fillId="0" borderId="0" xfId="0" applyFont="1" applyFill="1" applyAlignment="1">
      <alignment horizontal="center"/>
    </xf>
    <xf numFmtId="0" fontId="17" fillId="0" borderId="0" xfId="0" applyFont="1" applyFill="1" applyAlignment="1">
      <alignment horizontal="center"/>
    </xf>
    <xf numFmtId="0" fontId="0" fillId="0" borderId="0" xfId="0" applyFill="1" applyAlignment="1">
      <alignment horizontal="center"/>
    </xf>
    <xf numFmtId="0" fontId="29" fillId="0" borderId="0" xfId="0" applyFont="1" applyFill="1" applyAlignment="1">
      <alignment horizontal="center"/>
    </xf>
    <xf numFmtId="0" fontId="22" fillId="0" borderId="0" xfId="0" applyFont="1" applyFill="1" applyBorder="1" applyAlignment="1">
      <alignment horizontal="center" vertical="center" wrapText="1"/>
    </xf>
    <xf numFmtId="4" fontId="24" fillId="0" borderId="0" xfId="0" applyNumberFormat="1" applyFont="1" applyFill="1" applyBorder="1" applyAlignment="1">
      <alignment horizontal="left" vertical="center" textRotation="90" wrapText="1"/>
    </xf>
    <xf numFmtId="0" fontId="29" fillId="0" borderId="0" xfId="0" applyFont="1" applyFill="1"/>
    <xf numFmtId="0" fontId="26" fillId="0" borderId="0" xfId="0" applyFont="1" applyFill="1"/>
    <xf numFmtId="0" fontId="18" fillId="0" borderId="0" xfId="0" applyFont="1" applyFill="1"/>
    <xf numFmtId="0" fontId="19" fillId="0" borderId="1" xfId="0" applyFont="1" applyFill="1" applyBorder="1" applyAlignment="1">
      <alignment horizontal="center" vertical="top" wrapText="1"/>
    </xf>
    <xf numFmtId="0" fontId="19" fillId="0" borderId="5" xfId="0" applyFont="1" applyFill="1" applyBorder="1" applyAlignment="1">
      <alignment horizontal="center" vertical="top" wrapText="1"/>
    </xf>
    <xf numFmtId="0" fontId="18" fillId="0" borderId="1" xfId="0" applyFont="1" applyFill="1" applyBorder="1" applyAlignment="1">
      <alignment horizontal="justify" vertical="top" wrapText="1"/>
    </xf>
    <xf numFmtId="2" fontId="19" fillId="0" borderId="1" xfId="0" applyNumberFormat="1" applyFont="1" applyFill="1" applyBorder="1" applyAlignment="1">
      <alignment horizontal="center" vertical="top" wrapText="1"/>
    </xf>
    <xf numFmtId="4" fontId="19" fillId="0" borderId="1" xfId="0" applyNumberFormat="1" applyFont="1" applyFill="1" applyBorder="1" applyAlignment="1">
      <alignment horizontal="center" vertical="top" wrapText="1"/>
    </xf>
    <xf numFmtId="0" fontId="19" fillId="0" borderId="1" xfId="0" applyFont="1" applyFill="1" applyBorder="1" applyAlignment="1">
      <alignment vertical="top" wrapText="1"/>
    </xf>
    <xf numFmtId="4" fontId="24" fillId="0" borderId="1" xfId="0" applyNumberFormat="1" applyFont="1" applyFill="1" applyBorder="1" applyAlignment="1">
      <alignment horizontal="center" vertical="top" wrapText="1"/>
    </xf>
    <xf numFmtId="0" fontId="21" fillId="0" borderId="1" xfId="0" applyFont="1" applyFill="1" applyBorder="1" applyAlignment="1">
      <alignment horizontal="center" vertical="top" wrapText="1"/>
    </xf>
    <xf numFmtId="0" fontId="22" fillId="0" borderId="1" xfId="0" applyFont="1" applyFill="1" applyBorder="1" applyAlignment="1">
      <alignment horizontal="center" vertical="center"/>
    </xf>
    <xf numFmtId="2" fontId="22" fillId="0" borderId="1" xfId="0" applyNumberFormat="1" applyFont="1" applyFill="1" applyBorder="1" applyAlignment="1">
      <alignment horizontal="center" vertical="center"/>
    </xf>
    <xf numFmtId="0" fontId="20" fillId="0" borderId="1" xfId="0" applyFont="1" applyFill="1" applyBorder="1" applyAlignment="1">
      <alignment horizontal="center" vertical="top" wrapText="1"/>
    </xf>
    <xf numFmtId="0" fontId="20" fillId="0" borderId="1" xfId="0" applyFont="1" applyFill="1" applyBorder="1" applyAlignment="1">
      <alignment vertical="top" wrapText="1"/>
    </xf>
    <xf numFmtId="0" fontId="21" fillId="0" borderId="1" xfId="0" applyFont="1" applyFill="1" applyBorder="1" applyAlignment="1">
      <alignment horizontal="center" vertical="center" wrapText="1"/>
    </xf>
    <xf numFmtId="2"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20" fillId="0" borderId="0" xfId="0" applyFont="1" applyFill="1" applyAlignment="1">
      <alignment horizontal="center" vertical="center"/>
    </xf>
    <xf numFmtId="176" fontId="0" fillId="0" borderId="0" xfId="0" applyNumberFormat="1"/>
    <xf numFmtId="173" fontId="0" fillId="0" borderId="0" xfId="0" applyNumberFormat="1"/>
    <xf numFmtId="0" fontId="54" fillId="0" borderId="0" xfId="2"/>
    <xf numFmtId="0" fontId="55" fillId="0" borderId="0" xfId="2" applyFont="1" applyBorder="1" applyAlignment="1" applyProtection="1"/>
    <xf numFmtId="0" fontId="55" fillId="0" borderId="0" xfId="2" applyFont="1" applyBorder="1" applyAlignment="1" applyProtection="1">
      <alignment horizontal="left" vertical="top"/>
    </xf>
    <xf numFmtId="0" fontId="55" fillId="0" borderId="0" xfId="2" applyFont="1" applyBorder="1" applyAlignment="1" applyProtection="1">
      <alignment vertical="top" wrapText="1"/>
    </xf>
    <xf numFmtId="49" fontId="57" fillId="0" borderId="20" xfId="2" applyNumberFormat="1" applyFont="1" applyBorder="1" applyAlignment="1" applyProtection="1">
      <alignment horizontal="left" vertical="center" wrapText="1"/>
    </xf>
    <xf numFmtId="49" fontId="58" fillId="0" borderId="1" xfId="2" applyNumberFormat="1" applyFont="1" applyBorder="1" applyAlignment="1" applyProtection="1">
      <alignment horizontal="center" vertical="center" wrapText="1"/>
    </xf>
    <xf numFmtId="0" fontId="59" fillId="0" borderId="0" xfId="2" applyFont="1"/>
    <xf numFmtId="49" fontId="58" fillId="0" borderId="21" xfId="2" applyNumberFormat="1" applyFont="1" applyBorder="1" applyAlignment="1" applyProtection="1">
      <alignment horizontal="left"/>
    </xf>
    <xf numFmtId="177" fontId="60" fillId="0" borderId="22" xfId="2" applyNumberFormat="1" applyFont="1" applyBorder="1" applyAlignment="1" applyProtection="1">
      <alignment horizontal="right"/>
    </xf>
    <xf numFmtId="177" fontId="60" fillId="5" borderId="22" xfId="2" applyNumberFormat="1" applyFont="1" applyFill="1" applyBorder="1" applyAlignment="1" applyProtection="1">
      <alignment horizontal="right"/>
    </xf>
    <xf numFmtId="0" fontId="39" fillId="0" borderId="7" xfId="2" applyFont="1" applyBorder="1" applyAlignment="1">
      <alignment horizontal="center" wrapText="1"/>
    </xf>
    <xf numFmtId="177" fontId="57" fillId="0" borderId="22" xfId="2" applyNumberFormat="1" applyFont="1" applyBorder="1" applyAlignment="1" applyProtection="1">
      <alignment horizontal="center" vertical="center" wrapText="1"/>
    </xf>
    <xf numFmtId="177" fontId="57" fillId="5" borderId="22" xfId="2" applyNumberFormat="1" applyFont="1" applyFill="1" applyBorder="1" applyAlignment="1" applyProtection="1">
      <alignment horizontal="center" vertical="center" wrapText="1"/>
    </xf>
    <xf numFmtId="177" fontId="59" fillId="0" borderId="1" xfId="2" applyNumberFormat="1" applyFont="1" applyBorder="1"/>
    <xf numFmtId="49" fontId="57" fillId="0" borderId="23" xfId="2" applyNumberFormat="1" applyFont="1" applyBorder="1" applyAlignment="1" applyProtection="1">
      <alignment horizontal="left" vertical="center" wrapText="1"/>
    </xf>
    <xf numFmtId="0" fontId="34" fillId="0" borderId="5" xfId="0" applyFont="1" applyFill="1" applyBorder="1" applyAlignment="1">
      <alignment horizontal="center" vertical="center"/>
    </xf>
    <xf numFmtId="0" fontId="34" fillId="0" borderId="2" xfId="0" applyFont="1" applyFill="1" applyBorder="1" applyAlignment="1">
      <alignment horizontal="center" vertical="center"/>
    </xf>
    <xf numFmtId="43" fontId="20" fillId="0" borderId="1" xfId="0" applyNumberFormat="1" applyFont="1" applyBorder="1" applyAlignment="1">
      <alignment horizontal="center" wrapText="1"/>
    </xf>
    <xf numFmtId="178" fontId="20" fillId="0" borderId="1" xfId="0" applyNumberFormat="1" applyFont="1" applyBorder="1" applyAlignment="1">
      <alignment horizontal="center" wrapText="1"/>
    </xf>
    <xf numFmtId="43" fontId="20" fillId="0" borderId="1" xfId="0" applyNumberFormat="1" applyFont="1" applyFill="1" applyBorder="1" applyAlignment="1">
      <alignment horizontal="center" wrapText="1"/>
    </xf>
    <xf numFmtId="43" fontId="20" fillId="0" borderId="1" xfId="0" applyNumberFormat="1" applyFont="1" applyBorder="1" applyAlignment="1">
      <alignment wrapText="1"/>
    </xf>
    <xf numFmtId="43" fontId="22" fillId="0" borderId="1" xfId="0" applyNumberFormat="1" applyFont="1" applyFill="1" applyBorder="1" applyAlignment="1">
      <alignment horizontal="center" vertical="center" wrapText="1"/>
    </xf>
    <xf numFmtId="43" fontId="20" fillId="0" borderId="1" xfId="0" applyNumberFormat="1" applyFont="1" applyFill="1" applyBorder="1" applyAlignment="1">
      <alignment horizontal="center" vertical="center" wrapText="1"/>
    </xf>
    <xf numFmtId="2" fontId="29" fillId="0" borderId="0" xfId="0" applyNumberFormat="1" applyFont="1"/>
    <xf numFmtId="175" fontId="23" fillId="0" borderId="1" xfId="0" applyNumberFormat="1" applyFont="1" applyFill="1" applyBorder="1" applyAlignment="1">
      <alignment horizontal="center"/>
    </xf>
    <xf numFmtId="175" fontId="18" fillId="0" borderId="1" xfId="0" applyNumberFormat="1" applyFont="1" applyFill="1" applyBorder="1" applyAlignment="1">
      <alignment horizontal="center"/>
    </xf>
    <xf numFmtId="175" fontId="18" fillId="2" borderId="1" xfId="0" applyNumberFormat="1" applyFont="1" applyFill="1" applyBorder="1" applyAlignment="1">
      <alignment horizontal="center" wrapText="1"/>
    </xf>
    <xf numFmtId="175" fontId="23" fillId="2" borderId="1" xfId="0" applyNumberFormat="1" applyFont="1" applyFill="1" applyBorder="1" applyAlignment="1">
      <alignment horizontal="center" wrapText="1"/>
    </xf>
    <xf numFmtId="0" fontId="0" fillId="7" borderId="0" xfId="0" applyFill="1"/>
    <xf numFmtId="4" fontId="0" fillId="4" borderId="1" xfId="0" applyNumberFormat="1" applyFill="1" applyBorder="1"/>
    <xf numFmtId="0" fontId="9" fillId="7" borderId="1" xfId="0" applyFont="1" applyFill="1" applyBorder="1" applyAlignment="1">
      <alignment horizontal="center" vertical="center"/>
    </xf>
    <xf numFmtId="1" fontId="34" fillId="7" borderId="1" xfId="0" applyNumberFormat="1" applyFont="1" applyFill="1" applyBorder="1" applyAlignment="1">
      <alignment horizontal="center" vertical="center"/>
    </xf>
    <xf numFmtId="43" fontId="34" fillId="7" borderId="1" xfId="0" applyNumberFormat="1" applyFont="1" applyFill="1" applyBorder="1" applyAlignment="1">
      <alignment horizontal="center" vertical="center"/>
    </xf>
    <xf numFmtId="0" fontId="34" fillId="7" borderId="1" xfId="0" applyFont="1" applyFill="1" applyBorder="1" applyAlignment="1">
      <alignment horizontal="center" vertical="center"/>
    </xf>
    <xf numFmtId="49" fontId="34" fillId="7" borderId="1" xfId="0" applyNumberFormat="1" applyFont="1" applyFill="1" applyBorder="1" applyAlignment="1">
      <alignment horizontal="center" vertical="center"/>
    </xf>
    <xf numFmtId="49" fontId="34" fillId="7" borderId="1" xfId="0" applyNumberFormat="1" applyFont="1" applyFill="1" applyBorder="1" applyAlignment="1">
      <alignment horizontal="center" vertical="center" wrapText="1"/>
    </xf>
    <xf numFmtId="4" fontId="0" fillId="7" borderId="1" xfId="0" applyNumberFormat="1" applyFill="1" applyBorder="1"/>
    <xf numFmtId="0" fontId="0" fillId="0" borderId="0" xfId="0" applyFill="1" applyAlignment="1">
      <alignment wrapText="1"/>
    </xf>
    <xf numFmtId="2" fontId="0" fillId="0" borderId="0" xfId="0" applyNumberFormat="1" applyFill="1"/>
    <xf numFmtId="2" fontId="0" fillId="7" borderId="1" xfId="0" applyNumberFormat="1" applyFill="1" applyBorder="1" applyAlignment="1">
      <alignment horizontal="center"/>
    </xf>
    <xf numFmtId="0" fontId="17" fillId="7" borderId="1" xfId="0" applyFont="1" applyFill="1" applyBorder="1"/>
    <xf numFmtId="0" fontId="16" fillId="7" borderId="1" xfId="0" applyFont="1" applyFill="1" applyBorder="1" applyAlignment="1">
      <alignment horizontal="center" vertical="center"/>
    </xf>
    <xf numFmtId="2" fontId="16" fillId="7" borderId="1" xfId="0" applyNumberFormat="1" applyFont="1" applyFill="1" applyBorder="1" applyAlignment="1">
      <alignment horizontal="center" vertical="center"/>
    </xf>
    <xf numFmtId="43" fontId="16" fillId="7" borderId="1" xfId="0" applyNumberFormat="1" applyFont="1" applyFill="1" applyBorder="1" applyAlignment="1">
      <alignment horizontal="center" vertical="center"/>
    </xf>
    <xf numFmtId="49" fontId="16" fillId="7" borderId="1" xfId="0" applyNumberFormat="1" applyFont="1" applyFill="1" applyBorder="1" applyAlignment="1">
      <alignment horizontal="center" vertical="center"/>
    </xf>
    <xf numFmtId="49" fontId="16" fillId="7" borderId="1" xfId="0" applyNumberFormat="1" applyFont="1" applyFill="1" applyBorder="1" applyAlignment="1">
      <alignment horizontal="center" vertical="center" wrapText="1"/>
    </xf>
    <xf numFmtId="4" fontId="0" fillId="0" borderId="1" xfId="0" applyNumberFormat="1" applyFill="1" applyBorder="1" applyAlignment="1">
      <alignment horizontal="center"/>
    </xf>
    <xf numFmtId="4" fontId="0" fillId="16" borderId="1" xfId="0" applyNumberFormat="1" applyFill="1" applyBorder="1"/>
    <xf numFmtId="4" fontId="0" fillId="0" borderId="0" xfId="0" applyNumberFormat="1" applyFill="1" applyBorder="1"/>
    <xf numFmtId="14" fontId="20" fillId="0" borderId="1" xfId="0" applyNumberFormat="1" applyFont="1" applyFill="1" applyBorder="1" applyAlignment="1">
      <alignment horizontal="center" vertical="center" wrapText="1"/>
    </xf>
    <xf numFmtId="174" fontId="20" fillId="0" borderId="1" xfId="0" applyNumberFormat="1" applyFont="1" applyFill="1" applyBorder="1" applyAlignment="1">
      <alignment horizontal="center" vertical="center" wrapText="1"/>
    </xf>
    <xf numFmtId="174" fontId="20" fillId="0" borderId="1" xfId="0" applyNumberFormat="1" applyFont="1" applyFill="1" applyBorder="1" applyAlignment="1">
      <alignment vertical="top" wrapText="1"/>
    </xf>
    <xf numFmtId="174" fontId="20" fillId="0" borderId="1" xfId="0" applyNumberFormat="1" applyFont="1" applyFill="1" applyBorder="1" applyAlignment="1">
      <alignment horizontal="center" vertical="top" wrapText="1"/>
    </xf>
    <xf numFmtId="177" fontId="18" fillId="0" borderId="1" xfId="0" applyNumberFormat="1" applyFont="1" applyFill="1" applyBorder="1" applyAlignment="1">
      <alignment horizontal="center"/>
    </xf>
    <xf numFmtId="177" fontId="20" fillId="0" borderId="1" xfId="0" applyNumberFormat="1" applyFont="1" applyFill="1" applyBorder="1" applyAlignment="1">
      <alignment horizontal="center" wrapText="1"/>
    </xf>
    <xf numFmtId="177" fontId="21" fillId="0" borderId="1" xfId="0" applyNumberFormat="1" applyFont="1" applyFill="1" applyBorder="1" applyAlignment="1">
      <alignment horizontal="center" vertical="center" textRotation="90" wrapText="1"/>
    </xf>
    <xf numFmtId="177" fontId="22" fillId="0" borderId="1" xfId="0" applyNumberFormat="1" applyFont="1" applyFill="1" applyBorder="1" applyAlignment="1">
      <alignment horizontal="center" wrapText="1"/>
    </xf>
    <xf numFmtId="177" fontId="23" fillId="0" borderId="1" xfId="0" applyNumberFormat="1" applyFont="1" applyFill="1" applyBorder="1" applyAlignment="1">
      <alignment horizontal="center" textRotation="90" wrapText="1"/>
    </xf>
    <xf numFmtId="177" fontId="61" fillId="0" borderId="1" xfId="0" applyNumberFormat="1" applyFont="1" applyFill="1" applyBorder="1" applyAlignment="1">
      <alignment horizontal="center" vertical="center" textRotation="90" wrapText="1"/>
    </xf>
    <xf numFmtId="177" fontId="21" fillId="0" borderId="1" xfId="0" applyNumberFormat="1" applyFont="1" applyFill="1" applyBorder="1" applyAlignment="1">
      <alignment horizontal="left" vertical="center" textRotation="90" wrapText="1"/>
    </xf>
    <xf numFmtId="177" fontId="22" fillId="0" borderId="1" xfId="0" applyNumberFormat="1" applyFont="1" applyFill="1" applyBorder="1" applyAlignment="1">
      <alignment horizontal="left" vertical="center" textRotation="90" wrapText="1"/>
    </xf>
    <xf numFmtId="177" fontId="22" fillId="0" borderId="1" xfId="0" applyNumberFormat="1" applyFont="1" applyFill="1" applyBorder="1" applyAlignment="1">
      <alignment horizontal="center" vertical="center" textRotation="90" wrapText="1"/>
    </xf>
    <xf numFmtId="177" fontId="25" fillId="0" borderId="1" xfId="0" applyNumberFormat="1" applyFont="1" applyFill="1" applyBorder="1" applyAlignment="1">
      <alignment horizontal="center" wrapText="1"/>
    </xf>
    <xf numFmtId="177" fontId="0" fillId="0" borderId="0" xfId="0" applyNumberFormat="1" applyFill="1" applyAlignment="1">
      <alignment horizontal="center"/>
    </xf>
    <xf numFmtId="177" fontId="18" fillId="0" borderId="1" xfId="0" applyNumberFormat="1" applyFont="1" applyFill="1" applyBorder="1" applyAlignment="1">
      <alignment horizontal="center" vertical="center" textRotation="90" wrapText="1"/>
    </xf>
    <xf numFmtId="165" fontId="0" fillId="2" borderId="0" xfId="0" applyNumberFormat="1" applyFill="1"/>
    <xf numFmtId="49" fontId="20" fillId="0" borderId="1" xfId="0" applyNumberFormat="1" applyFont="1" applyBorder="1" applyAlignment="1">
      <alignment horizontal="center" vertical="center" wrapText="1"/>
    </xf>
    <xf numFmtId="49" fontId="20"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0" fillId="18" borderId="1" xfId="0" applyFont="1" applyFill="1" applyBorder="1" applyAlignment="1">
      <alignment vertical="top" wrapText="1"/>
    </xf>
    <xf numFmtId="0" fontId="20" fillId="18" borderId="1" xfId="0" applyFont="1" applyFill="1" applyBorder="1" applyAlignment="1">
      <alignment horizontal="center" vertical="center" wrapText="1"/>
    </xf>
    <xf numFmtId="174" fontId="20" fillId="18" borderId="1" xfId="0" applyNumberFormat="1" applyFont="1" applyFill="1" applyBorder="1" applyAlignment="1">
      <alignment horizontal="center" vertical="center" wrapText="1"/>
    </xf>
    <xf numFmtId="43" fontId="20" fillId="18" borderId="1" xfId="0" applyNumberFormat="1" applyFont="1" applyFill="1" applyBorder="1" applyAlignment="1">
      <alignment horizontal="center" vertical="center" wrapText="1"/>
    </xf>
    <xf numFmtId="43" fontId="21" fillId="18" borderId="1" xfId="0" applyNumberFormat="1" applyFont="1" applyFill="1" applyBorder="1" applyAlignment="1">
      <alignment horizontal="center" vertical="center" wrapText="1"/>
    </xf>
    <xf numFmtId="173" fontId="20" fillId="18" borderId="1" xfId="0" applyNumberFormat="1" applyFont="1" applyFill="1" applyBorder="1" applyAlignment="1">
      <alignment horizontal="center" vertical="center" wrapText="1"/>
    </xf>
    <xf numFmtId="173" fontId="20" fillId="18" borderId="1" xfId="0" applyNumberFormat="1" applyFont="1" applyFill="1" applyBorder="1" applyAlignment="1">
      <alignment vertical="center" wrapText="1"/>
    </xf>
    <xf numFmtId="0" fontId="22" fillId="18" borderId="1" xfId="0" applyFont="1" applyFill="1" applyBorder="1" applyAlignment="1">
      <alignment horizontal="center" vertical="center" wrapText="1"/>
    </xf>
    <xf numFmtId="174" fontId="22" fillId="18" borderId="1" xfId="0" applyNumberFormat="1" applyFont="1" applyFill="1" applyBorder="1" applyAlignment="1">
      <alignment horizontal="center" vertical="center" wrapText="1"/>
    </xf>
    <xf numFmtId="43" fontId="22" fillId="18" borderId="1" xfId="0" applyNumberFormat="1" applyFont="1" applyFill="1" applyBorder="1" applyAlignment="1">
      <alignment horizontal="center" vertical="center" wrapText="1"/>
    </xf>
    <xf numFmtId="173" fontId="22" fillId="18" borderId="1" xfId="0" applyNumberFormat="1" applyFont="1" applyFill="1" applyBorder="1" applyAlignment="1">
      <alignment horizontal="center" vertical="center" wrapText="1"/>
    </xf>
    <xf numFmtId="0" fontId="20" fillId="18" borderId="1" xfId="0" applyFont="1" applyFill="1" applyBorder="1" applyAlignment="1">
      <alignment horizontal="center" wrapText="1"/>
    </xf>
    <xf numFmtId="0" fontId="20" fillId="18" borderId="1" xfId="0" applyFont="1" applyFill="1" applyBorder="1" applyAlignment="1">
      <alignment wrapText="1"/>
    </xf>
    <xf numFmtId="4" fontId="64" fillId="0" borderId="0" xfId="0" applyNumberFormat="1" applyFont="1"/>
    <xf numFmtId="4" fontId="0" fillId="0" borderId="0" xfId="0" applyNumberFormat="1"/>
    <xf numFmtId="2" fontId="0" fillId="19" borderId="0" xfId="0" applyNumberFormat="1" applyFill="1"/>
    <xf numFmtId="4" fontId="0" fillId="19" borderId="0" xfId="0" applyNumberFormat="1" applyFill="1"/>
    <xf numFmtId="0" fontId="0" fillId="19" borderId="0" xfId="0" applyFill="1"/>
    <xf numFmtId="177" fontId="20" fillId="0" borderId="1" xfId="0" applyNumberFormat="1" applyFont="1" applyFill="1" applyBorder="1" applyAlignment="1">
      <alignment horizontal="left" vertical="center" textRotation="90" wrapText="1"/>
    </xf>
    <xf numFmtId="43" fontId="20" fillId="20" borderId="1" xfId="0" applyNumberFormat="1" applyFont="1" applyFill="1" applyBorder="1" applyAlignment="1">
      <alignment horizontal="center" wrapText="1"/>
    </xf>
    <xf numFmtId="179" fontId="20" fillId="20" borderId="1" xfId="0" applyNumberFormat="1" applyFont="1" applyFill="1" applyBorder="1" applyAlignment="1">
      <alignment horizontal="center" wrapText="1"/>
    </xf>
    <xf numFmtId="0" fontId="20" fillId="0" borderId="3" xfId="0" applyFont="1" applyBorder="1" applyAlignment="1">
      <alignment horizontal="center" vertical="center" wrapText="1"/>
    </xf>
    <xf numFmtId="0" fontId="0" fillId="0" borderId="2" xfId="0" applyBorder="1" applyAlignment="1">
      <alignment vertical="center" wrapText="1"/>
    </xf>
    <xf numFmtId="0" fontId="0" fillId="0" borderId="5" xfId="0" applyBorder="1" applyAlignment="1">
      <alignment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 xfId="0" applyFont="1" applyBorder="1" applyAlignment="1">
      <alignment horizontal="center" vertical="center" textRotation="90" wrapText="1"/>
    </xf>
    <xf numFmtId="0" fontId="18" fillId="0" borderId="7" xfId="0" applyFont="1" applyBorder="1" applyAlignment="1">
      <alignment horizontal="left" vertical="center" wrapText="1"/>
    </xf>
    <xf numFmtId="0" fontId="18" fillId="0" borderId="25" xfId="0" applyFont="1" applyBorder="1" applyAlignment="1">
      <alignment horizontal="left" vertical="center" wrapText="1"/>
    </xf>
    <xf numFmtId="0" fontId="20" fillId="0" borderId="1" xfId="0" applyFont="1" applyBorder="1" applyAlignment="1">
      <alignment horizontal="center" textRotation="90" wrapText="1"/>
    </xf>
    <xf numFmtId="0" fontId="20" fillId="0" borderId="1" xfId="0" applyFont="1" applyBorder="1" applyAlignment="1">
      <alignment horizontal="center" vertical="center" wrapText="1"/>
    </xf>
    <xf numFmtId="0" fontId="20" fillId="0" borderId="6" xfId="0" applyFont="1" applyBorder="1" applyAlignment="1">
      <alignment vertical="center" wrapText="1"/>
    </xf>
    <xf numFmtId="0" fontId="20" fillId="0" borderId="28" xfId="0" applyFont="1" applyBorder="1" applyAlignment="1">
      <alignment vertical="center" wrapText="1"/>
    </xf>
    <xf numFmtId="0" fontId="20" fillId="0" borderId="4" xfId="0" applyFont="1" applyBorder="1" applyAlignment="1">
      <alignment vertical="center" wrapText="1"/>
    </xf>
    <xf numFmtId="0" fontId="20" fillId="0" borderId="26" xfId="0" applyFont="1" applyBorder="1" applyAlignment="1">
      <alignment vertical="center" wrapText="1"/>
    </xf>
    <xf numFmtId="0" fontId="20" fillId="0" borderId="29" xfId="0" applyFont="1" applyBorder="1" applyAlignment="1">
      <alignment vertical="center" wrapText="1"/>
    </xf>
    <xf numFmtId="0" fontId="20" fillId="0" borderId="27" xfId="0" applyFont="1" applyBorder="1" applyAlignment="1">
      <alignment vertical="center" wrapText="1"/>
    </xf>
    <xf numFmtId="0" fontId="10" fillId="0" borderId="0" xfId="0" applyFont="1" applyAlignment="1">
      <alignment horizontal="left" wrapText="1"/>
    </xf>
    <xf numFmtId="0" fontId="20" fillId="0" borderId="7" xfId="0" applyFont="1" applyBorder="1" applyAlignment="1">
      <alignment horizontal="center" vertical="center" wrapText="1" readingOrder="1"/>
    </xf>
    <xf numFmtId="0" fontId="20" fillId="0" borderId="25" xfId="0" applyFont="1" applyBorder="1" applyAlignment="1">
      <alignment horizontal="center" vertical="center" wrapText="1" readingOrder="1"/>
    </xf>
    <xf numFmtId="0" fontId="20" fillId="0" borderId="1" xfId="0" applyFont="1" applyBorder="1" applyAlignment="1">
      <alignment horizontal="center" vertical="center" wrapText="1" readingOrder="1"/>
    </xf>
    <xf numFmtId="0" fontId="20" fillId="0" borderId="6" xfId="0" applyFont="1" applyBorder="1" applyAlignment="1">
      <alignment horizontal="center" vertical="center" textRotation="90" wrapText="1"/>
    </xf>
    <xf numFmtId="0" fontId="0" fillId="0" borderId="4"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20" fillId="0" borderId="7"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10" fillId="0" borderId="0" xfId="0" applyFont="1" applyAlignment="1">
      <alignment horizontal="justify" wrapText="1"/>
    </xf>
    <xf numFmtId="0" fontId="0" fillId="0" borderId="0" xfId="0" applyAlignment="1">
      <alignment wrapText="1"/>
    </xf>
    <xf numFmtId="0" fontId="20" fillId="0" borderId="1" xfId="0" applyFont="1" applyBorder="1" applyAlignment="1">
      <alignment horizontal="center" wrapText="1"/>
    </xf>
    <xf numFmtId="0" fontId="20" fillId="0" borderId="1" xfId="0" applyFont="1" applyBorder="1" applyAlignment="1">
      <alignment horizontal="center" vertical="top" wrapText="1"/>
    </xf>
    <xf numFmtId="0" fontId="22" fillId="18" borderId="7" xfId="0" applyFont="1" applyFill="1" applyBorder="1" applyAlignment="1">
      <alignment vertical="top" wrapText="1"/>
    </xf>
    <xf numFmtId="0" fontId="22" fillId="18" borderId="25" xfId="0" applyFont="1" applyFill="1" applyBorder="1" applyAlignment="1">
      <alignment vertical="top" wrapText="1"/>
    </xf>
    <xf numFmtId="0" fontId="22" fillId="3" borderId="1" xfId="0" applyFont="1" applyFill="1" applyBorder="1" applyAlignment="1">
      <alignment vertical="top" wrapText="1"/>
    </xf>
    <xf numFmtId="0" fontId="29" fillId="3" borderId="1" xfId="0" applyFont="1" applyFill="1" applyBorder="1" applyAlignment="1">
      <alignment vertical="top" wrapText="1"/>
    </xf>
    <xf numFmtId="0" fontId="22" fillId="0" borderId="1" xfId="0" applyFont="1" applyBorder="1" applyAlignment="1">
      <alignment vertical="top" wrapText="1"/>
    </xf>
    <xf numFmtId="0" fontId="29" fillId="0" borderId="1" xfId="0" applyFont="1" applyBorder="1" applyAlignment="1">
      <alignment vertical="top" wrapText="1"/>
    </xf>
    <xf numFmtId="0" fontId="20" fillId="18" borderId="7" xfId="0" applyFont="1" applyFill="1" applyBorder="1" applyAlignment="1">
      <alignment horizontal="center" wrapText="1"/>
    </xf>
    <xf numFmtId="0" fontId="0" fillId="18" borderId="25" xfId="0" applyFill="1" applyBorder="1" applyAlignment="1">
      <alignment wrapText="1"/>
    </xf>
    <xf numFmtId="0" fontId="0" fillId="0" borderId="1" xfId="0" applyBorder="1" applyAlignment="1">
      <alignment horizontal="center" vertical="center"/>
    </xf>
    <xf numFmtId="0" fontId="10" fillId="0" borderId="0" xfId="0" applyFont="1" applyAlignment="1">
      <alignment horizontal="justify" vertical="top" wrapText="1"/>
    </xf>
    <xf numFmtId="0" fontId="0" fillId="0" borderId="0" xfId="0" applyAlignment="1">
      <alignment vertical="top" wrapText="1"/>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10" fillId="0" borderId="0" xfId="0" applyFont="1" applyAlignment="1">
      <alignment wrapText="1"/>
    </xf>
    <xf numFmtId="0" fontId="18" fillId="2" borderId="3" xfId="0" applyFont="1" applyFill="1" applyBorder="1" applyAlignment="1">
      <alignment horizontal="center" vertical="center" textRotation="90" wrapText="1"/>
    </xf>
    <xf numFmtId="0" fontId="18" fillId="2" borderId="5" xfId="0" applyFont="1" applyFill="1" applyBorder="1" applyAlignment="1">
      <alignment horizontal="center" vertical="center" textRotation="90" wrapText="1"/>
    </xf>
    <xf numFmtId="0" fontId="18" fillId="2" borderId="7"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23" fillId="2" borderId="1" xfId="0" applyFont="1" applyFill="1" applyBorder="1" applyAlignment="1">
      <alignment wrapText="1"/>
    </xf>
    <xf numFmtId="0" fontId="23" fillId="2" borderId="1" xfId="0" applyFont="1" applyFill="1" applyBorder="1"/>
    <xf numFmtId="0" fontId="18" fillId="2" borderId="7" xfId="0" applyFont="1" applyFill="1" applyBorder="1" applyAlignment="1">
      <alignment wrapText="1"/>
    </xf>
    <xf numFmtId="0" fontId="18" fillId="2" borderId="25" xfId="0" applyFont="1" applyFill="1" applyBorder="1" applyAlignment="1">
      <alignment wrapText="1"/>
    </xf>
    <xf numFmtId="0" fontId="18"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18" fillId="2" borderId="1" xfId="0" applyFont="1" applyFill="1" applyBorder="1" applyAlignment="1">
      <alignment horizontal="center" vertical="center" textRotation="90" wrapText="1"/>
    </xf>
    <xf numFmtId="0" fontId="0" fillId="0" borderId="1" xfId="0" applyBorder="1" applyAlignment="1">
      <alignment vertical="center" textRotation="90" wrapText="1"/>
    </xf>
    <xf numFmtId="0" fontId="18" fillId="0" borderId="3" xfId="0" applyFont="1" applyBorder="1" applyAlignment="1">
      <alignment horizontal="center" vertical="center" textRotation="90" wrapText="1"/>
    </xf>
    <xf numFmtId="0" fontId="18" fillId="0" borderId="5" xfId="0" applyFont="1" applyBorder="1" applyAlignment="1">
      <alignment horizontal="center" vertical="center" textRotation="90" wrapText="1"/>
    </xf>
    <xf numFmtId="0" fontId="19" fillId="2" borderId="1" xfId="0" applyFont="1" applyFill="1" applyBorder="1" applyAlignment="1">
      <alignment horizontal="center" vertical="center" textRotation="90"/>
    </xf>
    <xf numFmtId="0" fontId="0" fillId="0" borderId="1" xfId="0" applyBorder="1" applyAlignment="1">
      <alignment horizontal="center" vertical="center" textRotation="90"/>
    </xf>
    <xf numFmtId="0" fontId="18" fillId="2" borderId="1" xfId="0" applyFont="1" applyFill="1" applyBorder="1" applyAlignment="1">
      <alignment horizontal="center" vertical="center" textRotation="90"/>
    </xf>
    <xf numFmtId="0" fontId="0" fillId="0" borderId="1" xfId="0" applyBorder="1" applyAlignment="1">
      <alignment horizontal="center" vertical="center" textRotation="90" wrapText="1"/>
    </xf>
    <xf numFmtId="177" fontId="18" fillId="0" borderId="3" xfId="0" applyNumberFormat="1" applyFont="1" applyFill="1" applyBorder="1" applyAlignment="1">
      <alignment horizontal="center" vertical="center" textRotation="90" wrapText="1"/>
    </xf>
    <xf numFmtId="177" fontId="18" fillId="0" borderId="5" xfId="0" applyNumberFormat="1" applyFont="1" applyFill="1" applyBorder="1" applyAlignment="1">
      <alignment horizontal="center" vertical="center" textRotation="90" wrapText="1"/>
    </xf>
    <xf numFmtId="177" fontId="18" fillId="0" borderId="3" xfId="0" applyNumberFormat="1" applyFont="1" applyFill="1" applyBorder="1" applyAlignment="1">
      <alignment horizontal="center"/>
    </xf>
    <xf numFmtId="177" fontId="18" fillId="0" borderId="5" xfId="0" applyNumberFormat="1" applyFont="1" applyFill="1" applyBorder="1" applyAlignment="1">
      <alignment horizontal="center"/>
    </xf>
    <xf numFmtId="0" fontId="26" fillId="0" borderId="0" xfId="0" applyFont="1" applyFill="1" applyAlignment="1">
      <alignment wrapText="1"/>
    </xf>
    <xf numFmtId="0" fontId="0" fillId="0" borderId="0" xfId="0" applyFill="1" applyAlignment="1">
      <alignment wrapText="1"/>
    </xf>
    <xf numFmtId="177" fontId="62" fillId="0" borderId="1" xfId="0" applyNumberFormat="1" applyFont="1" applyFill="1" applyBorder="1" applyAlignment="1">
      <alignment horizontal="center" wrapText="1"/>
    </xf>
    <xf numFmtId="0" fontId="10" fillId="0" borderId="0" xfId="0" applyFont="1" applyFill="1" applyAlignment="1">
      <alignment horizontal="justify"/>
    </xf>
    <xf numFmtId="0" fontId="0" fillId="0" borderId="0" xfId="0" applyFill="1" applyAlignment="1"/>
    <xf numFmtId="0" fontId="18" fillId="0" borderId="1" xfId="0" applyFont="1" applyFill="1" applyBorder="1" applyAlignment="1">
      <alignment horizontal="center" vertical="center" textRotation="90" wrapText="1"/>
    </xf>
    <xf numFmtId="0" fontId="18"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62" fillId="0" borderId="1" xfId="0" applyFont="1" applyFill="1" applyBorder="1" applyAlignment="1">
      <alignment horizontal="center" wrapText="1"/>
    </xf>
    <xf numFmtId="0" fontId="20" fillId="0" borderId="1" xfId="0" applyFont="1" applyFill="1" applyBorder="1" applyAlignment="1">
      <alignment horizontal="center" vertical="center" wrapText="1"/>
    </xf>
    <xf numFmtId="0" fontId="7" fillId="2" borderId="3" xfId="0" applyFont="1" applyFill="1" applyBorder="1" applyAlignment="1">
      <alignment horizontal="center" vertical="center" textRotation="90" wrapText="1"/>
    </xf>
    <xf numFmtId="0" fontId="7" fillId="2" borderId="2" xfId="0" applyFont="1" applyFill="1" applyBorder="1" applyAlignment="1">
      <alignment horizontal="center" vertical="center" textRotation="90" wrapText="1"/>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2" fillId="2" borderId="0" xfId="0" applyFont="1" applyFill="1" applyAlignment="1">
      <alignment horizontal="center"/>
    </xf>
    <xf numFmtId="0" fontId="4" fillId="2" borderId="0" xfId="0" applyFont="1" applyFill="1" applyAlignment="1">
      <alignment horizontal="center"/>
    </xf>
    <xf numFmtId="0" fontId="7" fillId="2" borderId="1" xfId="0" applyFont="1" applyFill="1" applyBorder="1" applyAlignment="1">
      <alignment horizontal="center" vertical="center" textRotation="90" wrapText="1"/>
    </xf>
    <xf numFmtId="0" fontId="5" fillId="2" borderId="0" xfId="0" applyFont="1" applyFill="1" applyAlignment="1">
      <alignment horizontal="center"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4" xfId="0" applyFont="1" applyFill="1" applyBorder="1" applyAlignment="1">
      <alignment vertical="center"/>
    </xf>
    <xf numFmtId="0" fontId="7" fillId="2" borderId="30" xfId="0" applyFont="1" applyFill="1" applyBorder="1" applyAlignment="1">
      <alignment horizontal="center" vertical="center" wrapText="1"/>
    </xf>
    <xf numFmtId="0" fontId="7" fillId="2" borderId="31" xfId="0" applyFont="1" applyFill="1" applyBorder="1" applyAlignment="1">
      <alignment vertical="center"/>
    </xf>
    <xf numFmtId="0" fontId="7" fillId="2" borderId="26" xfId="0" applyFont="1" applyFill="1" applyBorder="1" applyAlignment="1">
      <alignment vertical="center"/>
    </xf>
    <xf numFmtId="0" fontId="7" fillId="2" borderId="27" xfId="0" applyFont="1" applyFill="1" applyBorder="1" applyAlignment="1">
      <alignment vertical="center"/>
    </xf>
    <xf numFmtId="0" fontId="7" fillId="2" borderId="5" xfId="0" applyFont="1" applyFill="1" applyBorder="1" applyAlignment="1">
      <alignment horizontal="center" vertical="center" textRotation="90" wrapText="1"/>
    </xf>
    <xf numFmtId="0" fontId="7" fillId="2" borderId="6" xfId="0" applyFont="1" applyFill="1" applyBorder="1" applyAlignment="1">
      <alignment horizontal="center" vertical="center" textRotation="90" wrapText="1"/>
    </xf>
    <xf numFmtId="0" fontId="7" fillId="2" borderId="30" xfId="0" applyFont="1" applyFill="1" applyBorder="1" applyAlignment="1">
      <alignment horizontal="center" vertical="center" textRotation="90" wrapText="1"/>
    </xf>
    <xf numFmtId="0" fontId="7" fillId="2" borderId="26" xfId="0" applyFont="1" applyFill="1" applyBorder="1" applyAlignment="1">
      <alignment horizontal="center" vertical="center" textRotation="90" wrapText="1"/>
    </xf>
    <xf numFmtId="0" fontId="7" fillId="2" borderId="3" xfId="0" applyFont="1" applyFill="1" applyBorder="1" applyAlignment="1">
      <alignment horizontal="center" vertical="center" textRotation="90"/>
    </xf>
    <xf numFmtId="0" fontId="7" fillId="2" borderId="2" xfId="0" applyFont="1" applyFill="1" applyBorder="1" applyAlignment="1">
      <alignment horizontal="center" vertical="center" textRotation="90"/>
    </xf>
    <xf numFmtId="0" fontId="7" fillId="2" borderId="5" xfId="0" applyFont="1" applyFill="1" applyBorder="1" applyAlignment="1">
      <alignment horizontal="center" vertical="center" textRotation="90"/>
    </xf>
    <xf numFmtId="0" fontId="7" fillId="2" borderId="7" xfId="0" applyFont="1" applyFill="1" applyBorder="1" applyAlignment="1">
      <alignment horizontal="center" vertical="center"/>
    </xf>
    <xf numFmtId="0" fontId="7" fillId="2" borderId="25" xfId="0" applyFont="1" applyFill="1" applyBorder="1" applyAlignment="1">
      <alignment vertical="center"/>
    </xf>
    <xf numFmtId="0" fontId="8" fillId="2" borderId="3" xfId="0" applyFont="1" applyFill="1" applyBorder="1" applyAlignment="1">
      <alignment horizontal="center" vertical="center" textRotation="90"/>
    </xf>
    <xf numFmtId="0" fontId="8" fillId="2" borderId="2" xfId="0" applyFont="1" applyFill="1" applyBorder="1" applyAlignment="1">
      <alignment horizontal="center" vertical="center" textRotation="90"/>
    </xf>
    <xf numFmtId="0" fontId="8" fillId="2" borderId="5" xfId="0" applyFont="1" applyFill="1" applyBorder="1" applyAlignment="1">
      <alignment horizontal="center" vertical="center" textRotation="90"/>
    </xf>
    <xf numFmtId="0" fontId="7" fillId="2" borderId="1"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25"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3" borderId="1" xfId="0" quotePrefix="1" applyFont="1" applyFill="1" applyBorder="1" applyAlignment="1">
      <alignment horizontal="left" vertical="top" wrapText="1"/>
    </xf>
    <xf numFmtId="0" fontId="6" fillId="3" borderId="1" xfId="0" applyFont="1" applyFill="1" applyBorder="1" applyAlignment="1">
      <alignment horizontal="left" vertical="top" wrapText="1"/>
    </xf>
    <xf numFmtId="165" fontId="13" fillId="2" borderId="3" xfId="0" applyNumberFormat="1" applyFont="1" applyFill="1" applyBorder="1" applyAlignment="1">
      <alignment horizontal="center" vertical="top" wrapText="1"/>
    </xf>
    <xf numFmtId="165" fontId="13" fillId="2" borderId="2" xfId="0" applyNumberFormat="1" applyFont="1" applyFill="1" applyBorder="1" applyAlignment="1">
      <alignment horizontal="center" vertical="top" wrapText="1"/>
    </xf>
    <xf numFmtId="165" fontId="13" fillId="2" borderId="5" xfId="0" applyNumberFormat="1" applyFont="1" applyFill="1" applyBorder="1" applyAlignment="1">
      <alignment horizontal="center" vertical="top" wrapText="1"/>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6" fillId="3" borderId="7" xfId="0" applyFont="1" applyFill="1" applyBorder="1" applyAlignment="1">
      <alignment horizontal="left" vertical="top" wrapText="1"/>
    </xf>
    <xf numFmtId="0" fontId="6" fillId="3" borderId="25" xfId="0" applyFont="1" applyFill="1" applyBorder="1" applyAlignment="1">
      <alignment horizontal="left" vertical="top" wrapText="1"/>
    </xf>
    <xf numFmtId="0" fontId="29" fillId="0" borderId="0" xfId="0" applyFont="1" applyAlignment="1">
      <alignment horizontal="center" wrapText="1"/>
    </xf>
    <xf numFmtId="0" fontId="30" fillId="0" borderId="3" xfId="0" applyFont="1" applyBorder="1" applyAlignment="1">
      <alignment horizontal="center" vertical="center" textRotation="90" wrapText="1"/>
    </xf>
    <xf numFmtId="0" fontId="30" fillId="0" borderId="5" xfId="0" applyFont="1" applyBorder="1" applyAlignment="1">
      <alignment horizontal="center" vertical="center" textRotation="90" wrapText="1"/>
    </xf>
    <xf numFmtId="0" fontId="30" fillId="0" borderId="3" xfId="0" applyFont="1" applyFill="1" applyBorder="1" applyAlignment="1">
      <alignment horizontal="center" vertical="center" textRotation="90" wrapText="1"/>
    </xf>
    <xf numFmtId="0" fontId="30" fillId="0" borderId="5" xfId="0" applyFont="1" applyFill="1" applyBorder="1" applyAlignment="1">
      <alignment horizontal="center" vertical="center" textRotation="90" wrapText="1"/>
    </xf>
    <xf numFmtId="0" fontId="30" fillId="0" borderId="7" xfId="0" applyFont="1" applyBorder="1" applyAlignment="1">
      <alignment horizontal="center" wrapText="1"/>
    </xf>
    <xf numFmtId="0" fontId="30" fillId="0" borderId="24" xfId="0" applyFont="1" applyBorder="1" applyAlignment="1">
      <alignment horizontal="center" wrapText="1"/>
    </xf>
    <xf numFmtId="0" fontId="0" fillId="0" borderId="25" xfId="0" applyBorder="1" applyAlignment="1">
      <alignment horizontal="center" wrapText="1"/>
    </xf>
    <xf numFmtId="0" fontId="34" fillId="0" borderId="3" xfId="0" applyFont="1" applyFill="1" applyBorder="1" applyAlignment="1">
      <alignment horizontal="center" vertical="center"/>
    </xf>
    <xf numFmtId="0" fontId="34" fillId="0" borderId="5" xfId="0" applyFont="1" applyFill="1" applyBorder="1" applyAlignment="1">
      <alignment horizontal="center" vertical="center"/>
    </xf>
    <xf numFmtId="0" fontId="9" fillId="3" borderId="6"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34" fillId="0" borderId="2" xfId="0" applyFont="1" applyFill="1" applyBorder="1" applyAlignment="1">
      <alignment horizontal="center" vertical="center"/>
    </xf>
    <xf numFmtId="0" fontId="30" fillId="0" borderId="7" xfId="0" applyFont="1" applyFill="1" applyBorder="1" applyAlignment="1">
      <alignment horizontal="center" wrapText="1"/>
    </xf>
    <xf numFmtId="0" fontId="30" fillId="0" borderId="24" xfId="0" applyFont="1" applyFill="1" applyBorder="1" applyAlignment="1">
      <alignment horizontal="center" wrapText="1"/>
    </xf>
    <xf numFmtId="0" fontId="0" fillId="0" borderId="25" xfId="0" applyFill="1" applyBorder="1" applyAlignment="1">
      <alignment horizontal="center" wrapText="1"/>
    </xf>
    <xf numFmtId="0" fontId="29" fillId="0" borderId="0" xfId="0" applyFont="1" applyFill="1" applyAlignment="1">
      <alignment horizontal="center" wrapText="1"/>
    </xf>
    <xf numFmtId="0" fontId="30" fillId="5" borderId="3" xfId="0" applyFont="1" applyFill="1" applyBorder="1" applyAlignment="1">
      <alignment horizontal="center" vertical="center" textRotation="90" wrapText="1"/>
    </xf>
    <xf numFmtId="0" fontId="30" fillId="5" borderId="5" xfId="0" applyFont="1" applyFill="1" applyBorder="1" applyAlignment="1">
      <alignment horizontal="center" vertical="center" textRotation="90" wrapText="1"/>
    </xf>
    <xf numFmtId="0" fontId="46" fillId="0" borderId="3" xfId="0" applyFont="1" applyFill="1" applyBorder="1" applyAlignment="1">
      <alignment horizontal="center" vertical="center" textRotation="90"/>
    </xf>
    <xf numFmtId="0" fontId="46" fillId="0" borderId="2" xfId="0" applyFont="1" applyFill="1" applyBorder="1" applyAlignment="1">
      <alignment horizontal="center" vertical="center" textRotation="90"/>
    </xf>
    <xf numFmtId="0" fontId="46" fillId="0" borderId="5" xfId="0" applyFont="1" applyFill="1" applyBorder="1" applyAlignment="1">
      <alignment horizontal="center" vertical="center" textRotation="90"/>
    </xf>
    <xf numFmtId="0" fontId="36" fillId="0" borderId="6"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3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9" fillId="0" borderId="7" xfId="1" applyFont="1" applyFill="1" applyBorder="1" applyAlignment="1">
      <alignment horizontal="center" vertical="center"/>
    </xf>
    <xf numFmtId="0" fontId="39" fillId="0" borderId="24" xfId="1" applyFont="1" applyFill="1" applyBorder="1" applyAlignment="1">
      <alignment horizontal="center" vertical="center"/>
    </xf>
    <xf numFmtId="0" fontId="39" fillId="0" borderId="25" xfId="1" applyFont="1" applyFill="1" applyBorder="1" applyAlignment="1">
      <alignment horizontal="center" vertical="center"/>
    </xf>
    <xf numFmtId="0" fontId="40" fillId="0" borderId="3" xfId="0" applyFont="1" applyFill="1" applyBorder="1" applyAlignment="1">
      <alignment horizontal="center" vertical="center" textRotation="90" wrapText="1"/>
    </xf>
    <xf numFmtId="0" fontId="40" fillId="0" borderId="2" xfId="0" applyFont="1" applyFill="1" applyBorder="1" applyAlignment="1">
      <alignment horizontal="center" vertical="center" textRotation="90" wrapText="1"/>
    </xf>
    <xf numFmtId="0" fontId="40" fillId="0" borderId="5" xfId="0" applyFont="1" applyFill="1" applyBorder="1" applyAlignment="1">
      <alignment horizontal="center" vertical="center" textRotation="90" wrapText="1"/>
    </xf>
    <xf numFmtId="0" fontId="22" fillId="0" borderId="7" xfId="0" applyFont="1" applyFill="1" applyBorder="1" applyAlignment="1"/>
    <xf numFmtId="0" fontId="22" fillId="0" borderId="24" xfId="0" applyFont="1" applyFill="1" applyBorder="1" applyAlignment="1"/>
    <xf numFmtId="0" fontId="22" fillId="0" borderId="25" xfId="0" applyFont="1" applyFill="1" applyBorder="1" applyAlignment="1"/>
    <xf numFmtId="0" fontId="22" fillId="0" borderId="1" xfId="0" applyFont="1" applyFill="1" applyBorder="1" applyAlignment="1">
      <alignment vertical="top" wrapText="1"/>
    </xf>
    <xf numFmtId="0" fontId="29" fillId="0" borderId="1" xfId="0" applyFont="1" applyFill="1" applyBorder="1" applyAlignment="1">
      <alignment vertical="top" wrapText="1"/>
    </xf>
    <xf numFmtId="0" fontId="19" fillId="0" borderId="1" xfId="0" applyFont="1" applyFill="1" applyBorder="1" applyAlignment="1">
      <alignment horizontal="center" vertical="top" wrapText="1"/>
    </xf>
    <xf numFmtId="0" fontId="19" fillId="0" borderId="3" xfId="0" applyFont="1" applyFill="1" applyBorder="1" applyAlignment="1">
      <alignment horizontal="center" vertical="top" wrapText="1"/>
    </xf>
    <xf numFmtId="0" fontId="19" fillId="0" borderId="5" xfId="0" applyFont="1" applyFill="1" applyBorder="1" applyAlignment="1">
      <alignment horizontal="center" vertical="top" wrapText="1"/>
    </xf>
    <xf numFmtId="49" fontId="32" fillId="0" borderId="0" xfId="2" applyNumberFormat="1" applyFont="1" applyBorder="1" applyAlignment="1" applyProtection="1"/>
    <xf numFmtId="0" fontId="54" fillId="0" borderId="0" xfId="2"/>
    <xf numFmtId="0" fontId="56" fillId="0" borderId="0" xfId="2" applyFont="1" applyAlignment="1">
      <alignment wrapText="1"/>
    </xf>
    <xf numFmtId="0" fontId="54" fillId="0" borderId="0" xfId="2" applyAlignment="1">
      <alignment wrapText="1"/>
    </xf>
    <xf numFmtId="177" fontId="21" fillId="20" borderId="1" xfId="0" applyNumberFormat="1" applyFont="1" applyFill="1" applyBorder="1" applyAlignment="1">
      <alignment horizontal="center" vertical="center" textRotation="90" wrapText="1"/>
    </xf>
  </cellXfs>
  <cellStyles count="3">
    <cellStyle name="Обычный" xfId="0" builtinId="0"/>
    <cellStyle name="Обычный 2" xfId="1"/>
    <cellStyle name="Обычный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A1:S28"/>
  <sheetViews>
    <sheetView topLeftCell="C10" zoomScale="107" zoomScaleNormal="107" workbookViewId="0">
      <selection activeCell="R25" sqref="R25:S25"/>
    </sheetView>
  </sheetViews>
  <sheetFormatPr defaultRowHeight="15"/>
  <cols>
    <col min="1" max="1" width="4.7109375" customWidth="1"/>
    <col min="2" max="2" width="14.5703125" customWidth="1"/>
    <col min="6" max="6" width="12.5703125" bestFit="1" customWidth="1"/>
    <col min="10" max="10" width="11.140625" bestFit="1" customWidth="1"/>
    <col min="11" max="11" width="15.42578125" bestFit="1" customWidth="1"/>
    <col min="15" max="15" width="14.7109375" bestFit="1" customWidth="1"/>
    <col min="19" max="19" width="13" customWidth="1"/>
  </cols>
  <sheetData>
    <row r="1" spans="1:19">
      <c r="J1">
        <v>12</v>
      </c>
      <c r="N1" s="82" t="s">
        <v>779</v>
      </c>
    </row>
    <row r="2" spans="1:19">
      <c r="N2" s="82" t="s">
        <v>294</v>
      </c>
    </row>
    <row r="3" spans="1:19">
      <c r="N3" s="82" t="s">
        <v>295</v>
      </c>
    </row>
    <row r="4" spans="1:19">
      <c r="N4" s="82" t="s">
        <v>296</v>
      </c>
    </row>
    <row r="5" spans="1:19">
      <c r="N5" s="82"/>
    </row>
    <row r="6" spans="1:19">
      <c r="N6" s="82" t="s">
        <v>764</v>
      </c>
    </row>
    <row r="7" spans="1:19" ht="58.15" customHeight="1">
      <c r="B7" s="75"/>
      <c r="C7" s="75"/>
      <c r="N7" s="492" t="s">
        <v>297</v>
      </c>
      <c r="O7" s="492"/>
      <c r="P7" s="492"/>
      <c r="Q7" s="492"/>
      <c r="R7" s="492"/>
      <c r="S7" s="492"/>
    </row>
    <row r="8" spans="1:19">
      <c r="A8" s="73"/>
      <c r="J8" s="74" t="s">
        <v>298</v>
      </c>
    </row>
    <row r="9" spans="1:19">
      <c r="J9" s="74" t="s">
        <v>299</v>
      </c>
    </row>
    <row r="10" spans="1:19">
      <c r="J10" s="74" t="s">
        <v>300</v>
      </c>
    </row>
    <row r="11" spans="1:19">
      <c r="J11" s="74" t="s">
        <v>301</v>
      </c>
    </row>
    <row r="12" spans="1:19">
      <c r="J12" s="74" t="s">
        <v>302</v>
      </c>
    </row>
    <row r="14" spans="1:19">
      <c r="A14" s="73"/>
    </row>
    <row r="15" spans="1:19" s="84" customFormat="1" ht="32.450000000000003" customHeight="1">
      <c r="A15" s="476" t="s">
        <v>408</v>
      </c>
      <c r="B15" s="476" t="s">
        <v>303</v>
      </c>
      <c r="C15" s="484" t="s">
        <v>304</v>
      </c>
      <c r="D15" s="485" t="s">
        <v>305</v>
      </c>
      <c r="E15" s="485"/>
      <c r="F15" s="485"/>
      <c r="G15" s="485"/>
      <c r="H15" s="485"/>
      <c r="I15" s="485" t="s">
        <v>306</v>
      </c>
      <c r="J15" s="485"/>
      <c r="K15" s="485"/>
      <c r="L15" s="485"/>
      <c r="M15" s="485"/>
      <c r="N15" s="485"/>
      <c r="O15" s="485"/>
      <c r="P15" s="485"/>
      <c r="Q15" s="485"/>
      <c r="R15" s="485"/>
      <c r="S15" s="485"/>
    </row>
    <row r="16" spans="1:19" s="84" customFormat="1" ht="11.25">
      <c r="A16" s="477"/>
      <c r="B16" s="479"/>
      <c r="C16" s="484"/>
      <c r="D16" s="484" t="s">
        <v>307</v>
      </c>
      <c r="E16" s="485" t="s">
        <v>308</v>
      </c>
      <c r="F16" s="485"/>
      <c r="G16" s="485"/>
      <c r="H16" s="485"/>
      <c r="I16" s="485" t="s">
        <v>307</v>
      </c>
      <c r="J16" s="485"/>
      <c r="K16" s="485"/>
      <c r="L16" s="485" t="s">
        <v>308</v>
      </c>
      <c r="M16" s="485"/>
      <c r="N16" s="485"/>
      <c r="O16" s="485"/>
      <c r="P16" s="485"/>
      <c r="Q16" s="485"/>
      <c r="R16" s="485"/>
      <c r="S16" s="485"/>
    </row>
    <row r="17" spans="1:19" s="84" customFormat="1" ht="23.45" customHeight="1">
      <c r="A17" s="477"/>
      <c r="B17" s="479"/>
      <c r="C17" s="484"/>
      <c r="D17" s="484"/>
      <c r="E17" s="481" t="s">
        <v>309</v>
      </c>
      <c r="F17" s="481"/>
      <c r="G17" s="481" t="s">
        <v>310</v>
      </c>
      <c r="H17" s="481" t="s">
        <v>311</v>
      </c>
      <c r="I17" s="486"/>
      <c r="J17" s="487"/>
      <c r="K17" s="488"/>
      <c r="L17" s="481" t="s">
        <v>312</v>
      </c>
      <c r="M17" s="481"/>
      <c r="N17" s="500" t="s">
        <v>313</v>
      </c>
      <c r="O17" s="501"/>
      <c r="P17" s="501"/>
      <c r="Q17" s="502"/>
      <c r="R17" s="496" t="s">
        <v>407</v>
      </c>
      <c r="S17" s="497"/>
    </row>
    <row r="18" spans="1:19" s="84" customFormat="1" ht="33" customHeight="1">
      <c r="A18" s="477"/>
      <c r="B18" s="479"/>
      <c r="C18" s="484"/>
      <c r="D18" s="484"/>
      <c r="E18" s="481"/>
      <c r="F18" s="481"/>
      <c r="G18" s="481"/>
      <c r="H18" s="481"/>
      <c r="I18" s="489"/>
      <c r="J18" s="490"/>
      <c r="K18" s="491"/>
      <c r="L18" s="481"/>
      <c r="M18" s="481"/>
      <c r="N18" s="495" t="s">
        <v>314</v>
      </c>
      <c r="O18" s="495"/>
      <c r="P18" s="493" t="s">
        <v>315</v>
      </c>
      <c r="Q18" s="494"/>
      <c r="R18" s="498"/>
      <c r="S18" s="499"/>
    </row>
    <row r="19" spans="1:19" s="84" customFormat="1" ht="46.15" customHeight="1">
      <c r="A19" s="478"/>
      <c r="B19" s="480"/>
      <c r="C19" s="484"/>
      <c r="D19" s="88" t="s">
        <v>316</v>
      </c>
      <c r="E19" s="88" t="s">
        <v>316</v>
      </c>
      <c r="F19" s="88" t="s">
        <v>317</v>
      </c>
      <c r="G19" s="88" t="s">
        <v>316</v>
      </c>
      <c r="H19" s="88" t="s">
        <v>316</v>
      </c>
      <c r="I19" s="88" t="s">
        <v>316</v>
      </c>
      <c r="J19" s="88" t="s">
        <v>318</v>
      </c>
      <c r="K19" s="88" t="s">
        <v>317</v>
      </c>
      <c r="L19" s="88" t="s">
        <v>318</v>
      </c>
      <c r="M19" s="88" t="s">
        <v>317</v>
      </c>
      <c r="N19" s="88" t="s">
        <v>318</v>
      </c>
      <c r="O19" s="88" t="s">
        <v>317</v>
      </c>
      <c r="P19" s="89" t="s">
        <v>318</v>
      </c>
      <c r="Q19" s="89" t="s">
        <v>317</v>
      </c>
      <c r="R19" s="88" t="s">
        <v>318</v>
      </c>
      <c r="S19" s="88" t="s">
        <v>317</v>
      </c>
    </row>
    <row r="20" spans="1:19" s="84" customFormat="1" ht="11.25">
      <c r="A20" s="87"/>
      <c r="B20" s="92"/>
      <c r="C20" s="85" t="s">
        <v>25</v>
      </c>
      <c r="D20" s="85" t="s">
        <v>25</v>
      </c>
      <c r="E20" s="85" t="s">
        <v>25</v>
      </c>
      <c r="F20" s="85" t="s">
        <v>26</v>
      </c>
      <c r="G20" s="85" t="s">
        <v>25</v>
      </c>
      <c r="H20" s="85" t="s">
        <v>25</v>
      </c>
      <c r="I20" s="85" t="s">
        <v>25</v>
      </c>
      <c r="J20" s="85" t="s">
        <v>25</v>
      </c>
      <c r="K20" s="85" t="s">
        <v>26</v>
      </c>
      <c r="L20" s="85" t="s">
        <v>25</v>
      </c>
      <c r="M20" s="85" t="s">
        <v>26</v>
      </c>
      <c r="N20" s="85" t="s">
        <v>25</v>
      </c>
      <c r="O20" s="85" t="s">
        <v>26</v>
      </c>
      <c r="P20" s="85" t="s">
        <v>25</v>
      </c>
      <c r="Q20" s="85" t="s">
        <v>26</v>
      </c>
      <c r="R20" s="85" t="s">
        <v>25</v>
      </c>
      <c r="S20" s="85" t="s">
        <v>26</v>
      </c>
    </row>
    <row r="21" spans="1:19" s="83" customFormat="1" ht="12">
      <c r="A21" s="90">
        <v>1</v>
      </c>
      <c r="B21" s="90">
        <v>2</v>
      </c>
      <c r="C21" s="90">
        <v>3</v>
      </c>
      <c r="D21" s="90">
        <v>4</v>
      </c>
      <c r="E21" s="90">
        <v>5</v>
      </c>
      <c r="F21" s="90">
        <v>6</v>
      </c>
      <c r="G21" s="90">
        <v>7</v>
      </c>
      <c r="H21" s="90">
        <v>8</v>
      </c>
      <c r="I21" s="90">
        <v>9</v>
      </c>
      <c r="J21" s="90">
        <v>10</v>
      </c>
      <c r="K21" s="90">
        <v>11</v>
      </c>
      <c r="L21" s="90">
        <v>12</v>
      </c>
      <c r="M21" s="90">
        <v>13</v>
      </c>
      <c r="N21" s="90">
        <v>14</v>
      </c>
      <c r="O21" s="90">
        <v>15</v>
      </c>
      <c r="P21" s="90">
        <v>16</v>
      </c>
      <c r="Q21" s="90">
        <v>17</v>
      </c>
      <c r="R21" s="90">
        <v>18</v>
      </c>
      <c r="S21" s="90">
        <v>19</v>
      </c>
    </row>
    <row r="22" spans="1:19" s="83" customFormat="1" ht="79.150000000000006" customHeight="1">
      <c r="A22" s="482" t="s">
        <v>319</v>
      </c>
      <c r="B22" s="483"/>
      <c r="C22" s="403">
        <f t="shared" ref="C22:S22" si="0">SUM(C23:C25)</f>
        <v>5560.4600000000009</v>
      </c>
      <c r="D22" s="403">
        <f t="shared" si="0"/>
        <v>0</v>
      </c>
      <c r="E22" s="403">
        <f t="shared" si="0"/>
        <v>1438.68</v>
      </c>
      <c r="F22" s="403">
        <f t="shared" si="0"/>
        <v>100498368.5</v>
      </c>
      <c r="G22" s="403">
        <f t="shared" si="0"/>
        <v>0</v>
      </c>
      <c r="H22" s="403">
        <f t="shared" si="0"/>
        <v>211.61</v>
      </c>
      <c r="I22" s="403">
        <f t="shared" si="0"/>
        <v>3910.17</v>
      </c>
      <c r="J22" s="403">
        <f t="shared" si="0"/>
        <v>4797.4079999999994</v>
      </c>
      <c r="K22" s="403">
        <f t="shared" si="0"/>
        <v>302741845.29999995</v>
      </c>
      <c r="L22" s="403">
        <f t="shared" si="0"/>
        <v>0</v>
      </c>
      <c r="M22" s="403">
        <f t="shared" si="0"/>
        <v>0</v>
      </c>
      <c r="N22" s="403">
        <f t="shared" si="0"/>
        <v>3042.5819999999999</v>
      </c>
      <c r="O22" s="403">
        <f t="shared" si="0"/>
        <v>192017365.29999998</v>
      </c>
      <c r="P22" s="403">
        <f t="shared" si="0"/>
        <v>0</v>
      </c>
      <c r="Q22" s="403">
        <f t="shared" si="0"/>
        <v>0</v>
      </c>
      <c r="R22" s="403">
        <f t="shared" si="0"/>
        <v>2437.89</v>
      </c>
      <c r="S22" s="403">
        <f t="shared" si="0"/>
        <v>110724480</v>
      </c>
    </row>
    <row r="23" spans="1:19" s="83" customFormat="1" ht="26.45" customHeight="1">
      <c r="A23" s="91" t="s">
        <v>34</v>
      </c>
      <c r="B23" s="91" t="s">
        <v>320</v>
      </c>
      <c r="C23" s="403">
        <v>1230.94</v>
      </c>
      <c r="D23" s="403">
        <v>0</v>
      </c>
      <c r="E23" s="403">
        <v>0</v>
      </c>
      <c r="F23" s="403">
        <v>1719914</v>
      </c>
      <c r="G23" s="403">
        <v>0</v>
      </c>
      <c r="H23" s="403">
        <v>211.61</v>
      </c>
      <c r="I23" s="403">
        <v>1019.33</v>
      </c>
      <c r="J23" s="403">
        <v>1328.4</v>
      </c>
      <c r="K23" s="403">
        <v>53136308.57</v>
      </c>
      <c r="L23" s="403">
        <v>0</v>
      </c>
      <c r="M23" s="403">
        <v>0</v>
      </c>
      <c r="N23" s="403">
        <v>1328.4</v>
      </c>
      <c r="O23" s="405">
        <f>K23</f>
        <v>53136308.57</v>
      </c>
      <c r="P23" s="403">
        <v>0</v>
      </c>
      <c r="Q23" s="403">
        <v>0</v>
      </c>
      <c r="R23" s="403">
        <v>0</v>
      </c>
      <c r="S23" s="403">
        <v>0</v>
      </c>
    </row>
    <row r="24" spans="1:19" s="83" customFormat="1" ht="26.45" customHeight="1">
      <c r="A24" s="91" t="s">
        <v>38</v>
      </c>
      <c r="B24" s="91" t="s">
        <v>321</v>
      </c>
      <c r="C24" s="403">
        <f>ДИМИТРОВград!K103</f>
        <v>1720.5800000000002</v>
      </c>
      <c r="D24" s="403">
        <v>0</v>
      </c>
      <c r="E24" s="403">
        <f>569.22</f>
        <v>569.22</v>
      </c>
      <c r="F24" s="403">
        <f>E24*47000*1.2</f>
        <v>32104008</v>
      </c>
      <c r="G24" s="403">
        <v>0</v>
      </c>
      <c r="H24" s="403"/>
      <c r="I24" s="403">
        <f>1720.58-H24-E24</f>
        <v>1151.3599999999999</v>
      </c>
      <c r="J24" s="405">
        <f>I24*1.2</f>
        <v>1381.6319999999998</v>
      </c>
      <c r="K24" s="403">
        <v>97040712</v>
      </c>
      <c r="L24" s="403">
        <v>0</v>
      </c>
      <c r="M24" s="403">
        <v>0</v>
      </c>
      <c r="N24" s="404">
        <f>КОНТРАКТЫ!G12</f>
        <v>215.85599999999999</v>
      </c>
      <c r="O24" s="403">
        <f>N24*47000</f>
        <v>10145232</v>
      </c>
      <c r="P24" s="406">
        <v>0</v>
      </c>
      <c r="Q24" s="403">
        <v>0</v>
      </c>
      <c r="R24" s="403">
        <f>C24*1.2-N24</f>
        <v>1848.84</v>
      </c>
      <c r="S24" s="403">
        <f>R24*47000</f>
        <v>86895480</v>
      </c>
    </row>
    <row r="25" spans="1:19" s="83" customFormat="1" ht="26.45" customHeight="1">
      <c r="A25" s="91" t="s">
        <v>41</v>
      </c>
      <c r="B25" s="91" t="s">
        <v>322</v>
      </c>
      <c r="C25" s="403">
        <f>ДИМИТРОВград!K136</f>
        <v>2608.94</v>
      </c>
      <c r="D25" s="403">
        <v>0</v>
      </c>
      <c r="E25" s="474">
        <v>869.46</v>
      </c>
      <c r="F25" s="474">
        <v>66674446.5</v>
      </c>
      <c r="G25" s="403">
        <v>0</v>
      </c>
      <c r="H25" s="403">
        <v>0</v>
      </c>
      <c r="I25" s="403">
        <f>C25-E25</f>
        <v>1739.48</v>
      </c>
      <c r="J25" s="405">
        <f>I25*1.2</f>
        <v>2087.3759999999997</v>
      </c>
      <c r="K25" s="403">
        <v>152564824.72999999</v>
      </c>
      <c r="L25" s="403">
        <v>0</v>
      </c>
      <c r="M25" s="403">
        <v>0</v>
      </c>
      <c r="N25" s="403">
        <f>J25-R25</f>
        <v>1498.3259999999998</v>
      </c>
      <c r="O25" s="403">
        <f>K25-S25</f>
        <v>128735824.72999999</v>
      </c>
      <c r="P25" s="403">
        <v>0</v>
      </c>
      <c r="Q25" s="403">
        <v>0</v>
      </c>
      <c r="R25" s="474">
        <v>589.04999999999995</v>
      </c>
      <c r="S25" s="475">
        <v>23829000</v>
      </c>
    </row>
    <row r="26" spans="1:19" ht="15.75">
      <c r="A26" s="72"/>
      <c r="J26" s="145"/>
    </row>
    <row r="27" spans="1:19" ht="15.75">
      <c r="A27" s="72"/>
    </row>
    <row r="28" spans="1:19" ht="15.75">
      <c r="A28" s="72"/>
    </row>
  </sheetData>
  <mergeCells count="20">
    <mergeCell ref="I16:K16"/>
    <mergeCell ref="H17:H18"/>
    <mergeCell ref="I17:K18"/>
    <mergeCell ref="N7:S7"/>
    <mergeCell ref="P18:Q18"/>
    <mergeCell ref="N18:O18"/>
    <mergeCell ref="L16:S16"/>
    <mergeCell ref="R17:S18"/>
    <mergeCell ref="N17:Q17"/>
    <mergeCell ref="L17:M18"/>
    <mergeCell ref="I15:S15"/>
    <mergeCell ref="A15:A19"/>
    <mergeCell ref="B15:B19"/>
    <mergeCell ref="E17:F18"/>
    <mergeCell ref="G17:G18"/>
    <mergeCell ref="A22:B22"/>
    <mergeCell ref="C15:C19"/>
    <mergeCell ref="D15:H15"/>
    <mergeCell ref="D16:D18"/>
    <mergeCell ref="E16:H16"/>
  </mergeCells>
  <phoneticPr fontId="63" type="noConversion"/>
  <printOptions horizontalCentered="1"/>
  <pageMargins left="0.31496062992125984" right="0.31496062992125984" top="0.55118110236220474" bottom="0.15748031496062992" header="0.31496062992125984" footer="0.31496062992125984"/>
  <pageSetup paperSize="9" scale="73" orientation="landscape" r:id="rId1"/>
  <legacyDrawing r:id="rId2"/>
</worksheet>
</file>

<file path=xl/worksheets/sheet10.xml><?xml version="1.0" encoding="utf-8"?>
<worksheet xmlns="http://schemas.openxmlformats.org/spreadsheetml/2006/main" xmlns:r="http://schemas.openxmlformats.org/officeDocument/2006/relationships">
  <sheetPr>
    <tabColor rgb="FF92D050"/>
    <pageSetUpPr fitToPage="1"/>
  </sheetPr>
  <dimension ref="A1:S90"/>
  <sheetViews>
    <sheetView topLeftCell="A5" workbookViewId="0">
      <pane xSplit="3" ySplit="1" topLeftCell="D30" activePane="bottomRight" state="frozen"/>
      <selection activeCell="C22" activeCellId="1" sqref="C19 C22"/>
      <selection pane="topRight" activeCell="C22" activeCellId="1" sqref="C19 C22"/>
      <selection pane="bottomLeft" activeCell="C22" activeCellId="1" sqref="C19 C22"/>
      <selection pane="bottomRight" activeCell="C65" sqref="C65"/>
    </sheetView>
  </sheetViews>
  <sheetFormatPr defaultRowHeight="15"/>
  <cols>
    <col min="1" max="1" width="3.28515625" customWidth="1"/>
    <col min="2" max="2" width="4" customWidth="1"/>
    <col min="3" max="3" width="36.42578125" customWidth="1"/>
    <col min="4" max="4" width="6.42578125" customWidth="1"/>
    <col min="5" max="5" width="5.140625" customWidth="1"/>
    <col min="6" max="6" width="8.5703125" customWidth="1"/>
    <col min="7" max="7" width="6.28515625" customWidth="1"/>
    <col min="8" max="8" width="8.5703125" style="142" customWidth="1"/>
    <col min="9" max="9" width="6.5703125" style="142" customWidth="1"/>
    <col min="10" max="10" width="23.5703125" style="142" customWidth="1"/>
    <col min="11" max="11" width="33.85546875" style="142" customWidth="1"/>
    <col min="12" max="12" width="9.28515625" style="142" customWidth="1"/>
    <col min="13" max="13" width="14.7109375" customWidth="1"/>
    <col min="14" max="14" width="13.42578125" customWidth="1"/>
    <col min="19" max="19" width="70.7109375" customWidth="1"/>
  </cols>
  <sheetData>
    <row r="1" spans="1:19" ht="36.6" customHeight="1">
      <c r="A1" s="603" t="s">
        <v>425</v>
      </c>
      <c r="B1" s="603"/>
      <c r="C1" s="603"/>
      <c r="D1" s="603"/>
      <c r="E1" s="603"/>
      <c r="F1" s="603"/>
      <c r="G1" s="603"/>
      <c r="H1" s="603"/>
      <c r="I1" s="603"/>
      <c r="J1" s="603"/>
      <c r="K1" s="603"/>
      <c r="L1" s="603"/>
      <c r="M1" s="603"/>
    </row>
    <row r="2" spans="1:19" ht="18" customHeight="1">
      <c r="A2" s="603" t="s">
        <v>635</v>
      </c>
      <c r="B2" s="603"/>
      <c r="C2" s="603"/>
      <c r="D2" s="603"/>
      <c r="E2" s="603"/>
      <c r="F2" s="603"/>
      <c r="G2" s="603"/>
      <c r="H2" s="603"/>
      <c r="I2" s="603"/>
      <c r="J2" s="603"/>
      <c r="K2" s="603"/>
      <c r="L2" s="603"/>
      <c r="M2" s="603"/>
    </row>
    <row r="3" spans="1:19" ht="18" customHeight="1">
      <c r="A3" s="300"/>
      <c r="B3" s="300"/>
      <c r="C3" s="300"/>
      <c r="D3" s="300"/>
      <c r="E3" s="300"/>
      <c r="F3" s="300"/>
      <c r="G3" s="300"/>
      <c r="H3" s="149"/>
      <c r="I3" s="149"/>
      <c r="J3" s="149"/>
      <c r="K3" s="149"/>
      <c r="L3" s="149"/>
      <c r="M3" s="300"/>
    </row>
    <row r="4" spans="1:19" ht="30.6" customHeight="1">
      <c r="A4" s="301"/>
      <c r="B4" s="301"/>
      <c r="C4" s="301"/>
      <c r="D4" s="604" t="s">
        <v>429</v>
      </c>
      <c r="E4" s="604" t="s">
        <v>430</v>
      </c>
      <c r="F4" s="604" t="s">
        <v>431</v>
      </c>
      <c r="G4" s="604" t="s">
        <v>432</v>
      </c>
      <c r="H4" s="606" t="s">
        <v>433</v>
      </c>
      <c r="I4" s="623" t="s">
        <v>434</v>
      </c>
      <c r="J4" s="624"/>
      <c r="K4" s="624"/>
      <c r="L4" s="625"/>
      <c r="M4" s="604"/>
    </row>
    <row r="5" spans="1:19" ht="88.15" customHeight="1">
      <c r="A5" s="302" t="s">
        <v>3</v>
      </c>
      <c r="B5" s="302" t="s">
        <v>436</v>
      </c>
      <c r="C5" s="303" t="s">
        <v>437</v>
      </c>
      <c r="D5" s="605"/>
      <c r="E5" s="605"/>
      <c r="F5" s="605"/>
      <c r="G5" s="605"/>
      <c r="H5" s="607"/>
      <c r="I5" s="162" t="s">
        <v>439</v>
      </c>
      <c r="J5" s="162" t="s">
        <v>636</v>
      </c>
      <c r="K5" s="162" t="s">
        <v>596</v>
      </c>
      <c r="L5" s="163" t="s">
        <v>440</v>
      </c>
      <c r="M5" s="605"/>
      <c r="S5" s="306"/>
    </row>
    <row r="6" spans="1:19" ht="30">
      <c r="A6" s="307"/>
      <c r="B6" s="307"/>
      <c r="C6" s="339" t="s">
        <v>637</v>
      </c>
      <c r="D6" s="309">
        <f>SUM(D7:D15)</f>
        <v>20</v>
      </c>
      <c r="E6" s="309">
        <f>SUM(E7:E15)</f>
        <v>12</v>
      </c>
      <c r="F6" s="310">
        <f>SUM(F7:F15)</f>
        <v>269.99</v>
      </c>
      <c r="G6" s="309">
        <f>SUM(G7:G15)</f>
        <v>92.240000000000009</v>
      </c>
      <c r="H6" s="169">
        <f>SUM(H7:H15)</f>
        <v>177.75</v>
      </c>
      <c r="I6" s="168"/>
      <c r="J6" s="340"/>
      <c r="K6" s="341"/>
      <c r="L6" s="169"/>
      <c r="M6" s="310">
        <f>F6*47000*1.2</f>
        <v>15227436</v>
      </c>
      <c r="N6" s="313">
        <v>267.74</v>
      </c>
      <c r="S6" s="306"/>
    </row>
    <row r="7" spans="1:19">
      <c r="A7" s="314">
        <v>1</v>
      </c>
      <c r="B7" s="314">
        <v>1</v>
      </c>
      <c r="C7" s="315" t="s">
        <v>638</v>
      </c>
      <c r="D7" s="180">
        <v>4</v>
      </c>
      <c r="E7" s="182">
        <v>2</v>
      </c>
      <c r="F7" s="316">
        <v>46.91</v>
      </c>
      <c r="G7" s="317">
        <v>0</v>
      </c>
      <c r="H7" s="252">
        <v>46.91</v>
      </c>
      <c r="I7" s="186"/>
      <c r="J7" s="342">
        <v>41364</v>
      </c>
      <c r="K7" s="343"/>
      <c r="L7" s="187"/>
      <c r="M7" s="320"/>
    </row>
    <row r="8" spans="1:19">
      <c r="A8" s="314">
        <v>2</v>
      </c>
      <c r="B8" s="314">
        <v>1</v>
      </c>
      <c r="C8" s="315" t="s">
        <v>639</v>
      </c>
      <c r="D8" s="180">
        <v>3</v>
      </c>
      <c r="E8" s="182">
        <v>1</v>
      </c>
      <c r="F8" s="316">
        <v>28.87</v>
      </c>
      <c r="G8" s="317">
        <v>0</v>
      </c>
      <c r="H8" s="252">
        <v>28.87</v>
      </c>
      <c r="I8" s="186"/>
      <c r="J8" s="340">
        <v>38769</v>
      </c>
      <c r="K8" s="341" t="s">
        <v>640</v>
      </c>
      <c r="L8" s="187"/>
      <c r="M8" s="320"/>
    </row>
    <row r="9" spans="1:19" ht="30" customHeight="1">
      <c r="A9" s="314">
        <v>3</v>
      </c>
      <c r="B9" s="314">
        <v>1</v>
      </c>
      <c r="C9" s="179" t="s">
        <v>641</v>
      </c>
      <c r="D9" s="180">
        <v>1</v>
      </c>
      <c r="E9" s="182">
        <v>1</v>
      </c>
      <c r="F9" s="252">
        <v>22.93</v>
      </c>
      <c r="G9" s="187">
        <v>0</v>
      </c>
      <c r="H9" s="252">
        <v>22.93</v>
      </c>
      <c r="I9" s="186"/>
      <c r="J9" s="340">
        <v>36831</v>
      </c>
      <c r="K9" s="341"/>
      <c r="L9" s="187"/>
      <c r="M9" s="320"/>
    </row>
    <row r="10" spans="1:19">
      <c r="A10" s="314">
        <v>4</v>
      </c>
      <c r="B10" s="335">
        <v>2</v>
      </c>
      <c r="C10" s="315" t="s">
        <v>642</v>
      </c>
      <c r="D10" s="180">
        <v>1</v>
      </c>
      <c r="E10" s="182">
        <v>2</v>
      </c>
      <c r="F10" s="316">
        <v>36.97</v>
      </c>
      <c r="G10" s="328">
        <v>36.97</v>
      </c>
      <c r="H10" s="252">
        <v>0</v>
      </c>
      <c r="I10" s="321"/>
      <c r="J10" s="340"/>
      <c r="K10" s="341"/>
      <c r="L10" s="187"/>
      <c r="M10" s="320"/>
    </row>
    <row r="11" spans="1:19">
      <c r="A11" s="314">
        <v>5</v>
      </c>
      <c r="B11" s="335">
        <v>2</v>
      </c>
      <c r="C11" s="315" t="s">
        <v>643</v>
      </c>
      <c r="D11" s="180">
        <v>3</v>
      </c>
      <c r="E11" s="182">
        <v>1</v>
      </c>
      <c r="F11" s="316">
        <v>27.15</v>
      </c>
      <c r="G11" s="328">
        <v>27.15</v>
      </c>
      <c r="H11" s="252">
        <v>0</v>
      </c>
      <c r="I11" s="210"/>
      <c r="J11" s="340"/>
      <c r="K11" s="341"/>
      <c r="L11" s="187"/>
      <c r="M11" s="331"/>
    </row>
    <row r="12" spans="1:19">
      <c r="A12" s="314">
        <v>6</v>
      </c>
      <c r="B12" s="335">
        <v>3</v>
      </c>
      <c r="C12" s="315" t="s">
        <v>644</v>
      </c>
      <c r="D12" s="180">
        <v>3</v>
      </c>
      <c r="E12" s="182">
        <v>1</v>
      </c>
      <c r="F12" s="316">
        <v>20.34</v>
      </c>
      <c r="G12" s="317">
        <v>0</v>
      </c>
      <c r="H12" s="252">
        <v>20.34</v>
      </c>
      <c r="I12" s="216"/>
      <c r="J12" s="340">
        <v>39133</v>
      </c>
      <c r="K12" s="341"/>
      <c r="L12" s="187"/>
      <c r="M12" s="331"/>
    </row>
    <row r="13" spans="1:19">
      <c r="A13" s="314">
        <v>7</v>
      </c>
      <c r="B13" s="335">
        <v>3</v>
      </c>
      <c r="C13" s="315" t="s">
        <v>645</v>
      </c>
      <c r="D13" s="180">
        <v>2</v>
      </c>
      <c r="E13" s="182">
        <v>1</v>
      </c>
      <c r="F13" s="316">
        <v>28.12</v>
      </c>
      <c r="G13" s="328">
        <v>28.12</v>
      </c>
      <c r="H13" s="252">
        <v>0</v>
      </c>
      <c r="I13" s="210"/>
      <c r="J13" s="340"/>
      <c r="K13" s="341"/>
      <c r="L13" s="187"/>
      <c r="M13" s="331"/>
    </row>
    <row r="14" spans="1:19" ht="25.5">
      <c r="A14" s="314">
        <v>8</v>
      </c>
      <c r="B14" s="335">
        <v>3</v>
      </c>
      <c r="C14" s="315" t="s">
        <v>646</v>
      </c>
      <c r="D14" s="180">
        <v>2</v>
      </c>
      <c r="E14" s="182">
        <v>2</v>
      </c>
      <c r="F14" s="316">
        <v>38.33</v>
      </c>
      <c r="G14" s="317">
        <v>0</v>
      </c>
      <c r="H14" s="252">
        <v>38.33</v>
      </c>
      <c r="I14" s="216"/>
      <c r="J14" s="340">
        <v>40177</v>
      </c>
      <c r="K14" s="341"/>
      <c r="L14" s="187"/>
      <c r="M14" s="331"/>
    </row>
    <row r="15" spans="1:19">
      <c r="A15" s="314">
        <v>9</v>
      </c>
      <c r="B15" s="335">
        <v>4</v>
      </c>
      <c r="C15" s="192" t="s">
        <v>647</v>
      </c>
      <c r="D15" s="180">
        <v>1</v>
      </c>
      <c r="E15" s="182">
        <v>1</v>
      </c>
      <c r="F15" s="316">
        <v>20.37</v>
      </c>
      <c r="G15" s="317">
        <v>0</v>
      </c>
      <c r="H15" s="252">
        <v>20.37</v>
      </c>
      <c r="I15" s="216"/>
      <c r="J15" s="340">
        <v>41619</v>
      </c>
      <c r="K15" s="341"/>
      <c r="L15" s="187"/>
      <c r="M15" s="331"/>
    </row>
    <row r="16" spans="1:19" ht="30" customHeight="1">
      <c r="A16" s="322"/>
      <c r="B16" s="323"/>
      <c r="C16" s="308" t="s">
        <v>648</v>
      </c>
      <c r="D16" s="324">
        <f>SUM(D17:D31)</f>
        <v>45</v>
      </c>
      <c r="E16" s="324">
        <f>SUM(E17:E31)</f>
        <v>19</v>
      </c>
      <c r="F16" s="220">
        <f>SUM(F17:F31)</f>
        <v>405.37</v>
      </c>
      <c r="G16" s="240">
        <f>SUM(G17:G31)</f>
        <v>269.02</v>
      </c>
      <c r="H16" s="240">
        <f>SUM(H17:H31)</f>
        <v>136.35</v>
      </c>
      <c r="I16" s="220"/>
      <c r="J16" s="340"/>
      <c r="K16" s="341"/>
      <c r="L16" s="220"/>
      <c r="M16" s="310">
        <f>F16*47000*1.2</f>
        <v>22862868</v>
      </c>
      <c r="N16" s="313">
        <v>199.33</v>
      </c>
    </row>
    <row r="17" spans="1:14">
      <c r="A17" s="314">
        <v>1</v>
      </c>
      <c r="B17" s="611">
        <v>1</v>
      </c>
      <c r="C17" s="315" t="s">
        <v>649</v>
      </c>
      <c r="D17" s="180">
        <v>2</v>
      </c>
      <c r="E17" s="182">
        <v>2</v>
      </c>
      <c r="F17" s="316">
        <v>31.89</v>
      </c>
      <c r="G17" s="328">
        <v>31.89</v>
      </c>
      <c r="H17" s="252">
        <v>0</v>
      </c>
      <c r="I17" s="216"/>
      <c r="J17" s="340"/>
      <c r="K17" s="341"/>
      <c r="L17" s="187"/>
      <c r="M17" s="331"/>
    </row>
    <row r="18" spans="1:14">
      <c r="A18" s="314">
        <f t="shared" ref="A18:A31" si="0">A17+1</f>
        <v>2</v>
      </c>
      <c r="B18" s="622"/>
      <c r="C18" s="315" t="s">
        <v>650</v>
      </c>
      <c r="D18" s="180">
        <v>6</v>
      </c>
      <c r="E18" s="182">
        <v>1</v>
      </c>
      <c r="F18" s="316">
        <v>25.26</v>
      </c>
      <c r="G18" s="317">
        <v>0</v>
      </c>
      <c r="H18" s="252">
        <v>25.26</v>
      </c>
      <c r="I18" s="216"/>
      <c r="J18" s="340">
        <v>39721</v>
      </c>
      <c r="K18" s="341"/>
      <c r="L18" s="187"/>
      <c r="M18" s="331"/>
    </row>
    <row r="19" spans="1:14">
      <c r="A19" s="314">
        <f t="shared" si="0"/>
        <v>3</v>
      </c>
      <c r="B19" s="622"/>
      <c r="C19" s="315" t="s">
        <v>651</v>
      </c>
      <c r="D19" s="180">
        <v>4</v>
      </c>
      <c r="E19" s="182">
        <v>1</v>
      </c>
      <c r="F19" s="316">
        <v>20.5</v>
      </c>
      <c r="G19" s="328">
        <v>20.5</v>
      </c>
      <c r="H19" s="252">
        <v>0</v>
      </c>
      <c r="I19" s="216"/>
      <c r="J19" s="340"/>
      <c r="K19" s="341"/>
      <c r="L19" s="187"/>
      <c r="M19" s="331"/>
    </row>
    <row r="20" spans="1:14">
      <c r="A20" s="314">
        <f t="shared" si="0"/>
        <v>4</v>
      </c>
      <c r="B20" s="612"/>
      <c r="C20" s="315" t="s">
        <v>652</v>
      </c>
      <c r="D20" s="180">
        <v>4</v>
      </c>
      <c r="E20" s="182">
        <v>1</v>
      </c>
      <c r="F20" s="316">
        <v>27.74</v>
      </c>
      <c r="G20" s="328">
        <v>27.74</v>
      </c>
      <c r="H20" s="252">
        <v>0</v>
      </c>
      <c r="I20" s="216"/>
      <c r="J20" s="340"/>
      <c r="K20" s="341"/>
      <c r="L20" s="187"/>
      <c r="M20" s="331"/>
    </row>
    <row r="21" spans="1:14">
      <c r="A21" s="314">
        <f t="shared" si="0"/>
        <v>5</v>
      </c>
      <c r="B21" s="611">
        <v>2</v>
      </c>
      <c r="C21" s="315" t="s">
        <v>653</v>
      </c>
      <c r="D21" s="180">
        <v>2</v>
      </c>
      <c r="E21" s="182">
        <v>1</v>
      </c>
      <c r="F21" s="316">
        <v>25.17</v>
      </c>
      <c r="G21" s="328">
        <v>25.17</v>
      </c>
      <c r="H21" s="252">
        <v>0</v>
      </c>
      <c r="I21" s="216"/>
      <c r="J21" s="340"/>
      <c r="K21" s="341">
        <v>89603738391</v>
      </c>
      <c r="L21" s="187"/>
      <c r="M21" s="331"/>
    </row>
    <row r="22" spans="1:14">
      <c r="A22" s="314">
        <f t="shared" si="0"/>
        <v>6</v>
      </c>
      <c r="B22" s="622"/>
      <c r="C22" s="315" t="s">
        <v>654</v>
      </c>
      <c r="D22" s="180">
        <v>1</v>
      </c>
      <c r="E22" s="182">
        <v>1</v>
      </c>
      <c r="F22" s="316">
        <v>25.79</v>
      </c>
      <c r="G22" s="269">
        <v>25.79</v>
      </c>
      <c r="H22" s="252">
        <v>0</v>
      </c>
      <c r="I22" s="216"/>
      <c r="J22" s="340"/>
      <c r="K22" s="341"/>
      <c r="L22" s="187"/>
      <c r="M22" s="331"/>
    </row>
    <row r="23" spans="1:14" ht="51">
      <c r="A23" s="314">
        <f t="shared" si="0"/>
        <v>7</v>
      </c>
      <c r="B23" s="622"/>
      <c r="C23" s="192" t="s">
        <v>655</v>
      </c>
      <c r="D23" s="180">
        <v>5</v>
      </c>
      <c r="E23" s="182">
        <v>1</v>
      </c>
      <c r="F23" s="316">
        <v>22.5</v>
      </c>
      <c r="G23" s="317">
        <v>0</v>
      </c>
      <c r="H23" s="252">
        <v>22.5</v>
      </c>
      <c r="I23" s="216"/>
      <c r="J23" s="340" t="s">
        <v>656</v>
      </c>
      <c r="K23" s="341"/>
      <c r="L23" s="187"/>
      <c r="M23" s="331"/>
    </row>
    <row r="24" spans="1:14">
      <c r="A24" s="314">
        <f t="shared" si="0"/>
        <v>8</v>
      </c>
      <c r="B24" s="612"/>
      <c r="C24" s="315" t="s">
        <v>657</v>
      </c>
      <c r="D24" s="180">
        <v>3</v>
      </c>
      <c r="E24" s="182">
        <v>1</v>
      </c>
      <c r="F24" s="316">
        <v>23.96</v>
      </c>
      <c r="G24" s="269">
        <v>23.96</v>
      </c>
      <c r="H24" s="252">
        <v>0</v>
      </c>
      <c r="I24" s="216"/>
      <c r="J24" s="340"/>
      <c r="K24" s="341"/>
      <c r="L24" s="187"/>
      <c r="M24" s="331"/>
    </row>
    <row r="25" spans="1:14">
      <c r="A25" s="314">
        <f t="shared" si="0"/>
        <v>9</v>
      </c>
      <c r="B25" s="611">
        <v>3</v>
      </c>
      <c r="C25" s="315" t="s">
        <v>658</v>
      </c>
      <c r="D25" s="180">
        <v>2</v>
      </c>
      <c r="E25" s="182">
        <v>1</v>
      </c>
      <c r="F25" s="316">
        <v>23.1</v>
      </c>
      <c r="G25" s="328">
        <v>23.1</v>
      </c>
      <c r="H25" s="252">
        <v>0</v>
      </c>
      <c r="I25" s="216"/>
      <c r="J25" s="340"/>
      <c r="K25" s="341"/>
      <c r="L25" s="187"/>
      <c r="M25" s="331"/>
    </row>
    <row r="26" spans="1:14">
      <c r="A26" s="314">
        <f t="shared" si="0"/>
        <v>10</v>
      </c>
      <c r="B26" s="622"/>
      <c r="C26" s="192" t="s">
        <v>659</v>
      </c>
      <c r="D26" s="180">
        <v>2</v>
      </c>
      <c r="E26" s="182">
        <v>1</v>
      </c>
      <c r="F26" s="316">
        <v>25.03</v>
      </c>
      <c r="G26" s="317">
        <v>0</v>
      </c>
      <c r="H26" s="252">
        <v>25.03</v>
      </c>
      <c r="I26" s="216"/>
      <c r="J26" s="340">
        <v>41320</v>
      </c>
      <c r="K26" s="341"/>
      <c r="L26" s="187"/>
      <c r="M26" s="331"/>
    </row>
    <row r="27" spans="1:14">
      <c r="A27" s="314">
        <f t="shared" si="0"/>
        <v>11</v>
      </c>
      <c r="B27" s="622"/>
      <c r="C27" s="315" t="s">
        <v>660</v>
      </c>
      <c r="D27" s="180">
        <v>0</v>
      </c>
      <c r="E27" s="182">
        <v>1</v>
      </c>
      <c r="F27" s="316">
        <v>30.16</v>
      </c>
      <c r="G27" s="317">
        <v>0</v>
      </c>
      <c r="H27" s="252">
        <v>30.16</v>
      </c>
      <c r="I27" s="216"/>
      <c r="J27" s="340">
        <v>40823</v>
      </c>
      <c r="K27" s="341"/>
      <c r="L27" s="187"/>
      <c r="M27" s="331"/>
    </row>
    <row r="28" spans="1:14">
      <c r="A28" s="314">
        <f t="shared" si="0"/>
        <v>12</v>
      </c>
      <c r="B28" s="612"/>
      <c r="C28" s="315" t="s">
        <v>661</v>
      </c>
      <c r="D28" s="180">
        <v>3</v>
      </c>
      <c r="E28" s="182">
        <v>1</v>
      </c>
      <c r="F28" s="316">
        <v>24.3</v>
      </c>
      <c r="G28" s="328">
        <v>24.3</v>
      </c>
      <c r="H28" s="252">
        <v>0</v>
      </c>
      <c r="I28" s="216"/>
      <c r="J28" s="340"/>
      <c r="K28" s="341"/>
      <c r="L28" s="187"/>
      <c r="M28" s="331"/>
    </row>
    <row r="29" spans="1:14">
      <c r="A29" s="314">
        <f t="shared" si="0"/>
        <v>13</v>
      </c>
      <c r="B29" s="611">
        <v>4</v>
      </c>
      <c r="C29" s="315" t="s">
        <v>662</v>
      </c>
      <c r="D29" s="180">
        <v>3</v>
      </c>
      <c r="E29" s="182">
        <v>2</v>
      </c>
      <c r="F29" s="316">
        <v>33.4</v>
      </c>
      <c r="G29" s="317">
        <v>0</v>
      </c>
      <c r="H29" s="252">
        <v>33.4</v>
      </c>
      <c r="I29" s="216"/>
      <c r="J29" s="340">
        <v>39692</v>
      </c>
      <c r="K29" s="341"/>
      <c r="L29" s="187"/>
      <c r="M29" s="331"/>
    </row>
    <row r="30" spans="1:14">
      <c r="A30" s="314">
        <f t="shared" si="0"/>
        <v>14</v>
      </c>
      <c r="B30" s="622"/>
      <c r="C30" s="315" t="s">
        <v>663</v>
      </c>
      <c r="D30" s="180">
        <v>3</v>
      </c>
      <c r="E30" s="182">
        <v>2</v>
      </c>
      <c r="F30" s="316">
        <v>30.86</v>
      </c>
      <c r="G30" s="328">
        <v>30.86</v>
      </c>
      <c r="H30" s="252">
        <v>0</v>
      </c>
      <c r="I30" s="216"/>
      <c r="J30" s="340"/>
      <c r="K30" s="341"/>
      <c r="L30" s="187"/>
      <c r="M30" s="331"/>
    </row>
    <row r="31" spans="1:14">
      <c r="A31" s="314">
        <f t="shared" si="0"/>
        <v>15</v>
      </c>
      <c r="B31" s="612"/>
      <c r="C31" s="315" t="s">
        <v>664</v>
      </c>
      <c r="D31" s="180">
        <v>5</v>
      </c>
      <c r="E31" s="182">
        <v>2</v>
      </c>
      <c r="F31" s="317">
        <v>35.71</v>
      </c>
      <c r="G31" s="328">
        <v>35.71</v>
      </c>
      <c r="H31" s="252">
        <v>0</v>
      </c>
      <c r="I31" s="216"/>
      <c r="J31" s="340"/>
      <c r="K31" s="341"/>
      <c r="L31" s="187"/>
      <c r="M31" s="331"/>
    </row>
    <row r="32" spans="1:14" ht="30.6" customHeight="1">
      <c r="A32" s="322"/>
      <c r="B32" s="323"/>
      <c r="C32" s="308" t="s">
        <v>665</v>
      </c>
      <c r="D32" s="324">
        <f>SUM(D33:D37)</f>
        <v>6</v>
      </c>
      <c r="E32" s="324">
        <f>SUM(E33:E37)</f>
        <v>6</v>
      </c>
      <c r="F32" s="324">
        <f>SUM(F33:F37)</f>
        <v>143.95000000000002</v>
      </c>
      <c r="G32" s="325">
        <f>SUM(G33:G37)</f>
        <v>26.5</v>
      </c>
      <c r="H32" s="240">
        <f>SUM(H33:H37)</f>
        <v>117.45</v>
      </c>
      <c r="I32" s="220"/>
      <c r="J32" s="340"/>
      <c r="K32" s="341"/>
      <c r="L32" s="220"/>
      <c r="M32" s="310">
        <f>F32*47000*1.2</f>
        <v>8118780.0000000009</v>
      </c>
      <c r="N32" s="313">
        <v>416.04</v>
      </c>
    </row>
    <row r="33" spans="1:14" ht="25.5">
      <c r="A33" s="314">
        <v>1</v>
      </c>
      <c r="B33" s="220">
        <v>1</v>
      </c>
      <c r="C33" s="315" t="s">
        <v>666</v>
      </c>
      <c r="D33" s="180">
        <v>3</v>
      </c>
      <c r="E33" s="182">
        <v>1</v>
      </c>
      <c r="F33" s="316">
        <v>26.5</v>
      </c>
      <c r="G33" s="328">
        <v>26.5</v>
      </c>
      <c r="H33" s="252">
        <v>0</v>
      </c>
      <c r="I33" s="216"/>
      <c r="J33" s="340"/>
      <c r="K33" s="341"/>
      <c r="L33" s="187"/>
      <c r="M33" s="331"/>
    </row>
    <row r="34" spans="1:14">
      <c r="A34" s="314">
        <v>2</v>
      </c>
      <c r="B34" s="220">
        <v>2</v>
      </c>
      <c r="C34" s="192" t="s">
        <v>667</v>
      </c>
      <c r="D34" s="180">
        <v>0</v>
      </c>
      <c r="E34" s="182">
        <v>1</v>
      </c>
      <c r="F34" s="316">
        <v>19.2</v>
      </c>
      <c r="G34" s="317">
        <v>0</v>
      </c>
      <c r="H34" s="252">
        <v>19.2</v>
      </c>
      <c r="I34" s="216"/>
      <c r="J34" s="340">
        <v>43669</v>
      </c>
      <c r="K34" s="341">
        <v>25451</v>
      </c>
      <c r="L34" s="187"/>
      <c r="M34" s="331"/>
    </row>
    <row r="35" spans="1:14">
      <c r="A35" s="314">
        <v>3</v>
      </c>
      <c r="B35" s="220">
        <v>3</v>
      </c>
      <c r="C35" s="315" t="s">
        <v>668</v>
      </c>
      <c r="D35" s="180">
        <v>1</v>
      </c>
      <c r="E35" s="182">
        <v>1</v>
      </c>
      <c r="F35" s="316">
        <v>30.06</v>
      </c>
      <c r="G35" s="317">
        <v>0</v>
      </c>
      <c r="H35" s="252">
        <v>30.06</v>
      </c>
      <c r="I35" s="216"/>
      <c r="J35" s="340">
        <v>41157</v>
      </c>
      <c r="K35" s="341" t="s">
        <v>669</v>
      </c>
      <c r="L35" s="187"/>
      <c r="M35" s="331"/>
    </row>
    <row r="36" spans="1:14">
      <c r="A36" s="314">
        <v>4</v>
      </c>
      <c r="B36" s="220">
        <v>5</v>
      </c>
      <c r="C36" s="192" t="s">
        <v>670</v>
      </c>
      <c r="D36" s="180">
        <v>0</v>
      </c>
      <c r="E36" s="182">
        <v>1</v>
      </c>
      <c r="F36" s="316">
        <v>18.600000000000001</v>
      </c>
      <c r="G36" s="317">
        <v>0</v>
      </c>
      <c r="H36" s="252">
        <v>18.600000000000001</v>
      </c>
      <c r="I36" s="216"/>
      <c r="J36" s="340">
        <v>43347</v>
      </c>
      <c r="K36" s="341">
        <v>89278182522</v>
      </c>
      <c r="L36" s="187"/>
      <c r="M36" s="331"/>
    </row>
    <row r="37" spans="1:14" ht="25.5">
      <c r="A37" s="314">
        <v>5</v>
      </c>
      <c r="B37" s="220">
        <v>6</v>
      </c>
      <c r="C37" s="315" t="s">
        <v>671</v>
      </c>
      <c r="D37" s="180">
        <v>2</v>
      </c>
      <c r="E37" s="182">
        <v>2</v>
      </c>
      <c r="F37" s="316">
        <v>49.59</v>
      </c>
      <c r="G37" s="317">
        <v>0</v>
      </c>
      <c r="H37" s="252">
        <v>49.59</v>
      </c>
      <c r="I37" s="216"/>
      <c r="J37" s="340">
        <v>40122</v>
      </c>
      <c r="K37" s="341" t="s">
        <v>672</v>
      </c>
      <c r="L37" s="187"/>
      <c r="M37" s="331"/>
    </row>
    <row r="38" spans="1:14">
      <c r="A38" s="322"/>
      <c r="B38" s="323"/>
      <c r="C38" s="308" t="s">
        <v>673</v>
      </c>
      <c r="D38" s="324">
        <f>SUM(D39:D50)</f>
        <v>37</v>
      </c>
      <c r="E38" s="324">
        <f>SUM(E39:E50)</f>
        <v>20</v>
      </c>
      <c r="F38" s="324">
        <f>SUM(F39:F50)</f>
        <v>372.58</v>
      </c>
      <c r="G38" s="325">
        <f>SUM(G39:G50)</f>
        <v>313.39999999999998</v>
      </c>
      <c r="H38" s="220">
        <f>SUM(H39:H50)</f>
        <v>59.18</v>
      </c>
      <c r="I38" s="220"/>
      <c r="J38" s="340"/>
      <c r="K38" s="341"/>
      <c r="L38" s="220"/>
      <c r="M38" s="310">
        <f>F38*47000*1.2</f>
        <v>21013512</v>
      </c>
      <c r="N38" s="313">
        <v>217.04</v>
      </c>
    </row>
    <row r="39" spans="1:14">
      <c r="A39" s="314">
        <v>1</v>
      </c>
      <c r="B39" s="220">
        <v>1</v>
      </c>
      <c r="C39" s="315" t="s">
        <v>674</v>
      </c>
      <c r="D39" s="180">
        <v>4</v>
      </c>
      <c r="E39" s="182">
        <v>1</v>
      </c>
      <c r="F39" s="316">
        <v>24.1</v>
      </c>
      <c r="G39" s="317">
        <v>0</v>
      </c>
      <c r="H39" s="252">
        <v>24.1</v>
      </c>
      <c r="I39" s="187"/>
      <c r="J39" s="340">
        <v>40800</v>
      </c>
      <c r="K39" s="341"/>
      <c r="L39" s="187"/>
      <c r="M39" s="331"/>
    </row>
    <row r="40" spans="1:14">
      <c r="A40" s="314">
        <v>2</v>
      </c>
      <c r="B40" s="220">
        <v>2</v>
      </c>
      <c r="C40" s="315" t="s">
        <v>675</v>
      </c>
      <c r="D40" s="180">
        <v>4</v>
      </c>
      <c r="E40" s="182">
        <v>2</v>
      </c>
      <c r="F40" s="316">
        <v>35.700000000000003</v>
      </c>
      <c r="G40" s="328">
        <v>35.700000000000003</v>
      </c>
      <c r="H40" s="252">
        <v>0</v>
      </c>
      <c r="I40" s="216"/>
      <c r="J40" s="340"/>
      <c r="K40" s="341"/>
      <c r="L40" s="187"/>
      <c r="M40" s="331"/>
    </row>
    <row r="41" spans="1:14">
      <c r="A41" s="314">
        <v>3</v>
      </c>
      <c r="B41" s="220">
        <v>3</v>
      </c>
      <c r="C41" s="315" t="s">
        <v>676</v>
      </c>
      <c r="D41" s="180">
        <v>4</v>
      </c>
      <c r="E41" s="182">
        <v>2</v>
      </c>
      <c r="F41" s="316">
        <v>33.4</v>
      </c>
      <c r="G41" s="328">
        <v>33.4</v>
      </c>
      <c r="H41" s="252">
        <v>0</v>
      </c>
      <c r="I41" s="216"/>
      <c r="J41" s="340"/>
      <c r="K41" s="341"/>
      <c r="L41" s="187"/>
      <c r="M41" s="331"/>
    </row>
    <row r="42" spans="1:14">
      <c r="A42" s="314">
        <v>4</v>
      </c>
      <c r="B42" s="220">
        <v>4</v>
      </c>
      <c r="C42" s="315" t="s">
        <v>677</v>
      </c>
      <c r="D42" s="180">
        <v>1</v>
      </c>
      <c r="E42" s="182">
        <v>1</v>
      </c>
      <c r="F42" s="316">
        <v>22.3</v>
      </c>
      <c r="G42" s="328">
        <v>22.3</v>
      </c>
      <c r="H42" s="252">
        <v>0</v>
      </c>
      <c r="I42" s="216"/>
      <c r="J42" s="340"/>
      <c r="K42" s="341"/>
      <c r="L42" s="187"/>
      <c r="M42" s="331"/>
    </row>
    <row r="43" spans="1:14">
      <c r="A43" s="314">
        <f>A42+1</f>
        <v>5</v>
      </c>
      <c r="B43" s="220">
        <v>5</v>
      </c>
      <c r="C43" s="315" t="s">
        <v>678</v>
      </c>
      <c r="D43" s="180">
        <v>3</v>
      </c>
      <c r="E43" s="182">
        <v>2</v>
      </c>
      <c r="F43" s="316">
        <v>35.5</v>
      </c>
      <c r="G43" s="328">
        <v>35.5</v>
      </c>
      <c r="H43" s="252">
        <v>0</v>
      </c>
      <c r="I43" s="216"/>
      <c r="J43" s="340"/>
      <c r="K43" s="341"/>
      <c r="L43" s="187"/>
      <c r="M43" s="331"/>
    </row>
    <row r="44" spans="1:14">
      <c r="A44" s="314">
        <f t="shared" ref="A44:A50" si="1">A43+1</f>
        <v>6</v>
      </c>
      <c r="B44" s="220">
        <v>6</v>
      </c>
      <c r="C44" s="192" t="s">
        <v>679</v>
      </c>
      <c r="D44" s="180">
        <v>1</v>
      </c>
      <c r="E44" s="182">
        <v>2</v>
      </c>
      <c r="F44" s="316">
        <v>35.08</v>
      </c>
      <c r="G44" s="317">
        <v>0</v>
      </c>
      <c r="H44" s="252">
        <v>35.08</v>
      </c>
      <c r="I44" s="216"/>
      <c r="J44" s="340">
        <v>41592</v>
      </c>
      <c r="K44" s="341"/>
      <c r="L44" s="187"/>
      <c r="M44" s="331"/>
    </row>
    <row r="45" spans="1:14">
      <c r="A45" s="314">
        <f t="shared" si="1"/>
        <v>7</v>
      </c>
      <c r="B45" s="220">
        <v>7</v>
      </c>
      <c r="C45" s="315" t="s">
        <v>680</v>
      </c>
      <c r="D45" s="180">
        <v>4</v>
      </c>
      <c r="E45" s="182">
        <v>2</v>
      </c>
      <c r="F45" s="316">
        <v>33.9</v>
      </c>
      <c r="G45" s="328">
        <v>33.9</v>
      </c>
      <c r="H45" s="252">
        <v>0</v>
      </c>
      <c r="I45" s="216"/>
      <c r="J45" s="340"/>
      <c r="K45" s="341"/>
      <c r="L45" s="187"/>
      <c r="M45" s="331"/>
    </row>
    <row r="46" spans="1:14">
      <c r="A46" s="314">
        <f t="shared" si="1"/>
        <v>8</v>
      </c>
      <c r="B46" s="220">
        <v>8</v>
      </c>
      <c r="C46" s="315" t="s">
        <v>681</v>
      </c>
      <c r="D46" s="180">
        <v>6</v>
      </c>
      <c r="E46" s="182">
        <v>2</v>
      </c>
      <c r="F46" s="316">
        <v>36.299999999999997</v>
      </c>
      <c r="G46" s="328">
        <v>36.299999999999997</v>
      </c>
      <c r="H46" s="252">
        <v>0</v>
      </c>
      <c r="I46" s="216"/>
      <c r="J46" s="340"/>
      <c r="K46" s="341"/>
      <c r="L46" s="187"/>
      <c r="M46" s="331"/>
    </row>
    <row r="47" spans="1:14">
      <c r="A47" s="314">
        <f t="shared" si="1"/>
        <v>9</v>
      </c>
      <c r="B47" s="220">
        <v>9</v>
      </c>
      <c r="C47" s="315" t="s">
        <v>682</v>
      </c>
      <c r="D47" s="180">
        <v>2</v>
      </c>
      <c r="E47" s="182">
        <v>1</v>
      </c>
      <c r="F47" s="316">
        <v>23.1</v>
      </c>
      <c r="G47" s="328">
        <v>23.1</v>
      </c>
      <c r="H47" s="252">
        <v>0</v>
      </c>
      <c r="I47" s="216"/>
      <c r="J47" s="340"/>
      <c r="K47" s="341"/>
      <c r="L47" s="187"/>
      <c r="M47" s="331"/>
    </row>
    <row r="48" spans="1:14">
      <c r="A48" s="314">
        <f t="shared" si="1"/>
        <v>10</v>
      </c>
      <c r="B48" s="220">
        <v>10</v>
      </c>
      <c r="C48" s="315" t="s">
        <v>683</v>
      </c>
      <c r="D48" s="180">
        <v>1</v>
      </c>
      <c r="E48" s="182">
        <v>2</v>
      </c>
      <c r="F48" s="316">
        <v>33.9</v>
      </c>
      <c r="G48" s="328">
        <v>33.9</v>
      </c>
      <c r="H48" s="252">
        <v>0</v>
      </c>
      <c r="I48" s="216"/>
      <c r="J48" s="340"/>
      <c r="K48" s="341"/>
      <c r="L48" s="187"/>
      <c r="M48" s="331"/>
    </row>
    <row r="49" spans="1:14">
      <c r="A49" s="314">
        <f t="shared" si="1"/>
        <v>11</v>
      </c>
      <c r="B49" s="220">
        <v>11</v>
      </c>
      <c r="C49" s="315" t="s">
        <v>684</v>
      </c>
      <c r="D49" s="180">
        <v>5</v>
      </c>
      <c r="E49" s="182">
        <v>2</v>
      </c>
      <c r="F49" s="316">
        <v>36.200000000000003</v>
      </c>
      <c r="G49" s="328">
        <v>36.200000000000003</v>
      </c>
      <c r="H49" s="252">
        <v>0</v>
      </c>
      <c r="I49" s="216"/>
      <c r="J49" s="340"/>
      <c r="K49" s="341"/>
      <c r="L49" s="187"/>
      <c r="M49" s="331"/>
    </row>
    <row r="50" spans="1:14">
      <c r="A50" s="314">
        <f t="shared" si="1"/>
        <v>12</v>
      </c>
      <c r="B50" s="220">
        <v>12</v>
      </c>
      <c r="C50" s="315" t="s">
        <v>685</v>
      </c>
      <c r="D50" s="180">
        <v>2</v>
      </c>
      <c r="E50" s="182">
        <v>1</v>
      </c>
      <c r="F50" s="316">
        <v>23.1</v>
      </c>
      <c r="G50" s="328">
        <v>23.1</v>
      </c>
      <c r="H50" s="252">
        <v>0</v>
      </c>
      <c r="I50" s="216"/>
      <c r="J50" s="340"/>
      <c r="K50" s="341"/>
      <c r="L50" s="187"/>
      <c r="M50" s="331"/>
    </row>
    <row r="51" spans="1:14">
      <c r="A51" s="322"/>
      <c r="B51" s="323"/>
      <c r="C51" s="308" t="s">
        <v>686</v>
      </c>
      <c r="D51" s="324">
        <f>SUM(D52:D67)</f>
        <v>40</v>
      </c>
      <c r="E51" s="324">
        <f>SUM(E52:E67)</f>
        <v>23</v>
      </c>
      <c r="F51" s="325">
        <f>SUM(F52:F67)</f>
        <v>552.29999999999995</v>
      </c>
      <c r="G51" s="325">
        <f>SUM(G52:G67)</f>
        <v>69.8</v>
      </c>
      <c r="H51" s="240">
        <f>SUM(H52:H67)</f>
        <v>482.49999999999994</v>
      </c>
      <c r="I51" s="220"/>
      <c r="J51" s="340"/>
      <c r="K51" s="341"/>
      <c r="L51" s="240"/>
      <c r="M51" s="310">
        <f>F51*47000*1.2</f>
        <v>31149719.999999993</v>
      </c>
      <c r="N51" s="313">
        <v>278.89999999999998</v>
      </c>
    </row>
    <row r="52" spans="1:14" ht="30">
      <c r="A52" s="177">
        <v>1</v>
      </c>
      <c r="B52" s="220">
        <v>1</v>
      </c>
      <c r="C52" s="192" t="s">
        <v>687</v>
      </c>
      <c r="D52" s="180">
        <v>2</v>
      </c>
      <c r="E52" s="182">
        <v>1</v>
      </c>
      <c r="F52" s="316">
        <v>31.3</v>
      </c>
      <c r="G52" s="317">
        <v>0</v>
      </c>
      <c r="H52" s="252">
        <v>31.3</v>
      </c>
      <c r="I52" s="220"/>
      <c r="J52" s="340">
        <v>42267</v>
      </c>
      <c r="K52" s="341" t="s">
        <v>688</v>
      </c>
      <c r="L52" s="240"/>
      <c r="M52" s="324"/>
      <c r="N52" s="313"/>
    </row>
    <row r="53" spans="1:14">
      <c r="A53" s="314">
        <f t="shared" ref="A53:A67" si="2">A52+1</f>
        <v>2</v>
      </c>
      <c r="B53" s="220">
        <v>2</v>
      </c>
      <c r="C53" s="315" t="s">
        <v>689</v>
      </c>
      <c r="D53" s="180">
        <v>4</v>
      </c>
      <c r="E53" s="182">
        <v>2</v>
      </c>
      <c r="F53" s="316">
        <v>37.9</v>
      </c>
      <c r="G53" s="328">
        <v>37.9</v>
      </c>
      <c r="H53" s="252">
        <v>0</v>
      </c>
      <c r="I53" s="220"/>
      <c r="J53" s="340"/>
      <c r="K53" s="341">
        <v>89626313513</v>
      </c>
      <c r="L53" s="240"/>
      <c r="M53" s="324"/>
      <c r="N53" s="313"/>
    </row>
    <row r="54" spans="1:14">
      <c r="A54" s="314">
        <f t="shared" si="2"/>
        <v>3</v>
      </c>
      <c r="B54" s="220">
        <v>3</v>
      </c>
      <c r="C54" s="192" t="s">
        <v>690</v>
      </c>
      <c r="D54" s="180">
        <v>2</v>
      </c>
      <c r="E54" s="182">
        <v>2</v>
      </c>
      <c r="F54" s="316">
        <v>37.5</v>
      </c>
      <c r="G54" s="317">
        <v>0</v>
      </c>
      <c r="H54" s="252">
        <v>37.5</v>
      </c>
      <c r="I54" s="220"/>
      <c r="J54" s="340">
        <v>42068</v>
      </c>
      <c r="K54" s="341"/>
      <c r="L54" s="240"/>
      <c r="M54" s="324"/>
      <c r="N54" s="313"/>
    </row>
    <row r="55" spans="1:14">
      <c r="A55" s="314">
        <f t="shared" si="2"/>
        <v>4</v>
      </c>
      <c r="B55" s="220">
        <v>4</v>
      </c>
      <c r="C55" s="192" t="s">
        <v>691</v>
      </c>
      <c r="D55" s="180">
        <v>1</v>
      </c>
      <c r="E55" s="182">
        <v>1</v>
      </c>
      <c r="F55" s="316">
        <v>31.7</v>
      </c>
      <c r="G55" s="317">
        <v>0</v>
      </c>
      <c r="H55" s="252">
        <v>31.7</v>
      </c>
      <c r="I55" s="220"/>
      <c r="J55" s="340">
        <v>41452</v>
      </c>
      <c r="K55" s="341">
        <v>89084908322</v>
      </c>
      <c r="L55" s="240"/>
      <c r="M55" s="324"/>
      <c r="N55" s="313"/>
    </row>
    <row r="56" spans="1:14">
      <c r="A56" s="314">
        <f t="shared" si="2"/>
        <v>5</v>
      </c>
      <c r="B56" s="220">
        <v>5</v>
      </c>
      <c r="C56" s="192" t="s">
        <v>692</v>
      </c>
      <c r="D56" s="180">
        <v>5</v>
      </c>
      <c r="E56" s="182">
        <v>1</v>
      </c>
      <c r="F56" s="316">
        <v>31.57</v>
      </c>
      <c r="G56" s="317">
        <v>0</v>
      </c>
      <c r="H56" s="252">
        <v>31.57</v>
      </c>
      <c r="I56" s="220"/>
      <c r="J56" s="340">
        <v>41876</v>
      </c>
      <c r="K56" s="341"/>
      <c r="L56" s="240"/>
      <c r="M56" s="324"/>
      <c r="N56" s="313"/>
    </row>
    <row r="57" spans="1:14" ht="25.5">
      <c r="A57" s="314">
        <f t="shared" si="2"/>
        <v>6</v>
      </c>
      <c r="B57" s="220">
        <v>6</v>
      </c>
      <c r="C57" s="315" t="s">
        <v>693</v>
      </c>
      <c r="D57" s="180">
        <v>2</v>
      </c>
      <c r="E57" s="182">
        <v>2</v>
      </c>
      <c r="F57" s="316">
        <v>37.9</v>
      </c>
      <c r="G57" s="317">
        <v>0</v>
      </c>
      <c r="H57" s="252">
        <v>37.9</v>
      </c>
      <c r="I57" s="220"/>
      <c r="J57" s="340">
        <v>40471</v>
      </c>
      <c r="K57" s="341">
        <v>89278360467</v>
      </c>
      <c r="L57" s="240"/>
      <c r="M57" s="324"/>
      <c r="N57" s="313"/>
    </row>
    <row r="58" spans="1:14" ht="64.900000000000006" customHeight="1">
      <c r="A58" s="314">
        <f t="shared" si="2"/>
        <v>7</v>
      </c>
      <c r="B58" s="220">
        <v>7</v>
      </c>
      <c r="C58" s="192" t="s">
        <v>694</v>
      </c>
      <c r="D58" s="180">
        <v>2</v>
      </c>
      <c r="E58" s="182">
        <v>2</v>
      </c>
      <c r="F58" s="316">
        <v>37.08</v>
      </c>
      <c r="G58" s="317">
        <v>0</v>
      </c>
      <c r="H58" s="252">
        <v>37.08</v>
      </c>
      <c r="I58" s="220"/>
      <c r="J58" s="340" t="s">
        <v>695</v>
      </c>
      <c r="K58" s="341"/>
      <c r="L58" s="240"/>
      <c r="M58" s="324"/>
      <c r="N58" s="313"/>
    </row>
    <row r="59" spans="1:14">
      <c r="A59" s="314">
        <f t="shared" si="2"/>
        <v>8</v>
      </c>
      <c r="B59" s="220">
        <v>8</v>
      </c>
      <c r="C59" s="192" t="s">
        <v>696</v>
      </c>
      <c r="D59" s="180">
        <v>2</v>
      </c>
      <c r="E59" s="182">
        <v>1</v>
      </c>
      <c r="F59" s="316">
        <v>31.22</v>
      </c>
      <c r="G59" s="317">
        <v>0</v>
      </c>
      <c r="H59" s="252">
        <v>31.22</v>
      </c>
      <c r="I59" s="220"/>
      <c r="J59" s="340">
        <v>42087</v>
      </c>
      <c r="K59" s="341"/>
      <c r="L59" s="240"/>
      <c r="M59" s="324"/>
      <c r="N59" s="313"/>
    </row>
    <row r="60" spans="1:14">
      <c r="A60" s="314">
        <f t="shared" si="2"/>
        <v>9</v>
      </c>
      <c r="B60" s="220">
        <v>9</v>
      </c>
      <c r="C60" s="315" t="s">
        <v>697</v>
      </c>
      <c r="D60" s="180">
        <v>7</v>
      </c>
      <c r="E60" s="182">
        <v>1</v>
      </c>
      <c r="F60" s="316">
        <v>31.9</v>
      </c>
      <c r="G60" s="328">
        <v>31.9</v>
      </c>
      <c r="H60" s="252">
        <v>0</v>
      </c>
      <c r="I60" s="220"/>
      <c r="J60" s="340"/>
      <c r="K60" s="341">
        <v>89020069282</v>
      </c>
      <c r="L60" s="240"/>
      <c r="M60" s="324"/>
      <c r="N60" s="313"/>
    </row>
    <row r="61" spans="1:14" ht="25.5">
      <c r="A61" s="314">
        <f t="shared" si="2"/>
        <v>10</v>
      </c>
      <c r="B61" s="220">
        <v>10</v>
      </c>
      <c r="C61" s="192" t="s">
        <v>698</v>
      </c>
      <c r="D61" s="180">
        <v>3</v>
      </c>
      <c r="E61" s="182">
        <v>2</v>
      </c>
      <c r="F61" s="316">
        <v>37.299999999999997</v>
      </c>
      <c r="G61" s="317">
        <v>0</v>
      </c>
      <c r="H61" s="252">
        <v>37.299999999999997</v>
      </c>
      <c r="I61" s="220"/>
      <c r="J61" s="344" t="s">
        <v>699</v>
      </c>
      <c r="K61" s="341" t="s">
        <v>700</v>
      </c>
      <c r="L61" s="240"/>
      <c r="M61" s="324"/>
      <c r="N61" s="313"/>
    </row>
    <row r="62" spans="1:14">
      <c r="A62" s="314">
        <f t="shared" si="2"/>
        <v>11</v>
      </c>
      <c r="B62" s="220">
        <v>11</v>
      </c>
      <c r="C62" s="192" t="s">
        <v>701</v>
      </c>
      <c r="D62" s="180">
        <v>2</v>
      </c>
      <c r="E62" s="182">
        <v>2</v>
      </c>
      <c r="F62" s="316">
        <v>37.520000000000003</v>
      </c>
      <c r="G62" s="317">
        <v>0</v>
      </c>
      <c r="H62" s="252">
        <v>37.520000000000003</v>
      </c>
      <c r="I62" s="220"/>
      <c r="J62" s="340">
        <v>38940</v>
      </c>
      <c r="K62" s="341" t="s">
        <v>702</v>
      </c>
      <c r="L62" s="240"/>
      <c r="M62" s="324"/>
      <c r="N62" s="313"/>
    </row>
    <row r="63" spans="1:14">
      <c r="A63" s="314">
        <f t="shared" si="2"/>
        <v>12</v>
      </c>
      <c r="B63" s="220">
        <v>12</v>
      </c>
      <c r="C63" s="315" t="s">
        <v>703</v>
      </c>
      <c r="D63" s="180">
        <v>2</v>
      </c>
      <c r="E63" s="182">
        <v>1</v>
      </c>
      <c r="F63" s="316">
        <v>32.409999999999997</v>
      </c>
      <c r="G63" s="317">
        <v>0</v>
      </c>
      <c r="H63" s="252">
        <v>32.409999999999997</v>
      </c>
      <c r="I63" s="220"/>
      <c r="J63" s="340">
        <v>36830</v>
      </c>
      <c r="K63" s="341"/>
      <c r="L63" s="240"/>
      <c r="M63" s="324"/>
      <c r="N63" s="313"/>
    </row>
    <row r="64" spans="1:14">
      <c r="A64" s="314">
        <f t="shared" si="2"/>
        <v>13</v>
      </c>
      <c r="B64" s="220">
        <v>13</v>
      </c>
      <c r="C64" s="315" t="s">
        <v>704</v>
      </c>
      <c r="D64" s="180">
        <v>1</v>
      </c>
      <c r="E64" s="182">
        <v>1</v>
      </c>
      <c r="F64" s="316">
        <v>30.77</v>
      </c>
      <c r="G64" s="317">
        <v>0</v>
      </c>
      <c r="H64" s="252">
        <v>30.77</v>
      </c>
      <c r="I64" s="216"/>
      <c r="J64" s="340">
        <v>38979</v>
      </c>
      <c r="K64" s="341" t="s">
        <v>705</v>
      </c>
      <c r="L64" s="187"/>
      <c r="M64" s="331"/>
    </row>
    <row r="65" spans="1:14">
      <c r="A65" s="314">
        <f t="shared" si="2"/>
        <v>14</v>
      </c>
      <c r="B65" s="220">
        <v>14</v>
      </c>
      <c r="C65" s="192" t="s">
        <v>706</v>
      </c>
      <c r="D65" s="180">
        <v>1</v>
      </c>
      <c r="E65" s="182">
        <v>2</v>
      </c>
      <c r="F65" s="316">
        <v>36.520000000000003</v>
      </c>
      <c r="G65" s="317">
        <v>0</v>
      </c>
      <c r="H65" s="252">
        <v>36.520000000000003</v>
      </c>
      <c r="I65" s="216"/>
      <c r="J65" s="340">
        <v>38897</v>
      </c>
      <c r="K65" s="341" t="s">
        <v>707</v>
      </c>
      <c r="L65" s="187"/>
      <c r="M65" s="331"/>
    </row>
    <row r="66" spans="1:14">
      <c r="A66" s="314">
        <f t="shared" si="2"/>
        <v>15</v>
      </c>
      <c r="B66" s="220">
        <v>15</v>
      </c>
      <c r="C66" s="315" t="s">
        <v>708</v>
      </c>
      <c r="D66" s="180">
        <v>2</v>
      </c>
      <c r="E66" s="182">
        <v>1</v>
      </c>
      <c r="F66" s="316">
        <v>37.76</v>
      </c>
      <c r="G66" s="317">
        <v>0</v>
      </c>
      <c r="H66" s="252">
        <v>37.76</v>
      </c>
      <c r="I66" s="216"/>
      <c r="J66" s="340">
        <v>38964</v>
      </c>
      <c r="K66" s="341"/>
      <c r="L66" s="187"/>
      <c r="M66" s="331"/>
    </row>
    <row r="67" spans="1:14" ht="25.5">
      <c r="A67" s="314">
        <f t="shared" si="2"/>
        <v>16</v>
      </c>
      <c r="B67" s="220">
        <v>16</v>
      </c>
      <c r="C67" s="315" t="s">
        <v>709</v>
      </c>
      <c r="D67" s="180">
        <v>2</v>
      </c>
      <c r="E67" s="182">
        <v>1</v>
      </c>
      <c r="F67" s="316">
        <v>31.95</v>
      </c>
      <c r="G67" s="317">
        <v>0</v>
      </c>
      <c r="H67" s="252">
        <v>31.95</v>
      </c>
      <c r="I67" s="216"/>
      <c r="J67" s="340">
        <v>38774</v>
      </c>
      <c r="K67" s="341"/>
      <c r="L67" s="187"/>
      <c r="M67" s="331"/>
    </row>
    <row r="68" spans="1:14" ht="14.45" customHeight="1">
      <c r="A68" s="322"/>
      <c r="B68" s="323"/>
      <c r="C68" s="308" t="s">
        <v>710</v>
      </c>
      <c r="D68" s="324">
        <f>SUM(D69:D72)</f>
        <v>11</v>
      </c>
      <c r="E68" s="324">
        <f>SUM(E69:E72)</f>
        <v>5</v>
      </c>
      <c r="F68" s="325">
        <f>SUM(F69:F72)-F70</f>
        <v>76.710000000000008</v>
      </c>
      <c r="G68" s="325">
        <f>SUM(G69:G72)-G70</f>
        <v>33.11</v>
      </c>
      <c r="H68" s="325">
        <f>SUM(H69:H72)-H70</f>
        <v>43.6</v>
      </c>
      <c r="I68" s="220"/>
      <c r="J68" s="340"/>
      <c r="K68" s="341"/>
      <c r="L68" s="240"/>
      <c r="M68" s="310">
        <f>F68*47000*1.2</f>
        <v>4326444</v>
      </c>
      <c r="N68" s="313">
        <v>278.89999999999998</v>
      </c>
    </row>
    <row r="69" spans="1:14">
      <c r="A69" s="314">
        <v>1</v>
      </c>
      <c r="B69" s="314">
        <v>1</v>
      </c>
      <c r="C69" s="315" t="s">
        <v>711</v>
      </c>
      <c r="D69" s="180">
        <v>2</v>
      </c>
      <c r="E69" s="182">
        <v>1</v>
      </c>
      <c r="F69" s="316">
        <v>11.51</v>
      </c>
      <c r="G69" s="328">
        <v>11.51</v>
      </c>
      <c r="H69" s="252">
        <v>0</v>
      </c>
      <c r="I69" s="216"/>
      <c r="J69" s="340"/>
      <c r="K69" s="341"/>
      <c r="L69" s="187"/>
      <c r="M69" s="331"/>
    </row>
    <row r="70" spans="1:14">
      <c r="A70" s="314"/>
      <c r="B70" s="314">
        <v>2</v>
      </c>
      <c r="C70" s="345" t="s">
        <v>712</v>
      </c>
      <c r="D70" s="346">
        <v>0</v>
      </c>
      <c r="E70" s="181">
        <v>1</v>
      </c>
      <c r="F70" s="347">
        <v>26.5</v>
      </c>
      <c r="G70" s="348"/>
      <c r="H70" s="252">
        <v>0</v>
      </c>
      <c r="I70" s="216"/>
      <c r="J70" s="340"/>
      <c r="K70" s="341"/>
      <c r="L70" s="187"/>
      <c r="M70" s="331"/>
    </row>
    <row r="71" spans="1:14" ht="38.25">
      <c r="A71" s="314">
        <f>A69+1</f>
        <v>2</v>
      </c>
      <c r="B71" s="314">
        <v>3</v>
      </c>
      <c r="C71" s="315" t="s">
        <v>713</v>
      </c>
      <c r="D71" s="180">
        <v>5</v>
      </c>
      <c r="E71" s="182">
        <v>2</v>
      </c>
      <c r="F71" s="316">
        <v>43.6</v>
      </c>
      <c r="G71" s="317">
        <v>0</v>
      </c>
      <c r="H71" s="252">
        <v>43.6</v>
      </c>
      <c r="I71" s="216"/>
      <c r="J71" s="340">
        <v>39056</v>
      </c>
      <c r="K71" s="341" t="s">
        <v>714</v>
      </c>
      <c r="L71" s="187"/>
      <c r="M71" s="331"/>
    </row>
    <row r="72" spans="1:14">
      <c r="A72" s="314">
        <v>3</v>
      </c>
      <c r="B72" s="314">
        <v>4</v>
      </c>
      <c r="C72" s="179" t="s">
        <v>715</v>
      </c>
      <c r="D72" s="180">
        <v>4</v>
      </c>
      <c r="E72" s="182">
        <v>1</v>
      </c>
      <c r="F72" s="316">
        <v>21.6</v>
      </c>
      <c r="G72" s="328">
        <v>21.6</v>
      </c>
      <c r="H72" s="252">
        <v>0</v>
      </c>
      <c r="I72" s="216"/>
      <c r="J72" s="340"/>
      <c r="K72" s="341"/>
      <c r="L72" s="187"/>
      <c r="M72" s="331"/>
    </row>
    <row r="73" spans="1:14">
      <c r="A73" s="322"/>
      <c r="B73" s="323"/>
      <c r="C73" s="308" t="s">
        <v>716</v>
      </c>
      <c r="D73" s="324">
        <f>SUM(D74:D76)</f>
        <v>8</v>
      </c>
      <c r="E73" s="324">
        <f>SUM(E74:E76)</f>
        <v>6</v>
      </c>
      <c r="F73" s="325">
        <f>SUM(F74:F76)</f>
        <v>73.2</v>
      </c>
      <c r="G73" s="324">
        <f>SUM(G74:G76)</f>
        <v>19.5</v>
      </c>
      <c r="H73" s="220">
        <f>SUM(H74:H76)</f>
        <v>53.7</v>
      </c>
      <c r="I73" s="220"/>
      <c r="J73" s="340"/>
      <c r="K73" s="341"/>
      <c r="L73" s="240"/>
      <c r="M73" s="310">
        <f>F73*47000*1.2</f>
        <v>4128480</v>
      </c>
      <c r="N73" s="313">
        <v>278.89999999999998</v>
      </c>
    </row>
    <row r="74" spans="1:14">
      <c r="A74" s="314">
        <v>1</v>
      </c>
      <c r="B74" s="335">
        <v>1</v>
      </c>
      <c r="C74" s="315" t="s">
        <v>717</v>
      </c>
      <c r="D74" s="180">
        <v>5</v>
      </c>
      <c r="E74" s="182">
        <v>2</v>
      </c>
      <c r="F74" s="316">
        <v>27.8</v>
      </c>
      <c r="G74" s="317">
        <v>0</v>
      </c>
      <c r="H74" s="252">
        <v>27.8</v>
      </c>
      <c r="I74" s="216"/>
      <c r="J74" s="344">
        <v>39064</v>
      </c>
      <c r="K74" s="349"/>
      <c r="L74" s="187"/>
      <c r="M74" s="331"/>
    </row>
    <row r="75" spans="1:14">
      <c r="A75" s="314">
        <v>2</v>
      </c>
      <c r="B75" s="335">
        <v>2</v>
      </c>
      <c r="C75" s="315" t="s">
        <v>718</v>
      </c>
      <c r="D75" s="180">
        <v>1</v>
      </c>
      <c r="E75" s="182">
        <v>2</v>
      </c>
      <c r="F75" s="316">
        <v>25.9</v>
      </c>
      <c r="G75" s="317">
        <v>0</v>
      </c>
      <c r="H75" s="252">
        <v>25.9</v>
      </c>
      <c r="I75" s="216"/>
      <c r="J75" s="340">
        <v>40249</v>
      </c>
      <c r="K75" s="341"/>
      <c r="L75" s="187"/>
      <c r="M75" s="331"/>
    </row>
    <row r="76" spans="1:14">
      <c r="A76" s="314">
        <v>3</v>
      </c>
      <c r="B76" s="335">
        <v>2</v>
      </c>
      <c r="C76" s="315" t="s">
        <v>719</v>
      </c>
      <c r="D76" s="180">
        <v>2</v>
      </c>
      <c r="E76" s="182">
        <v>2</v>
      </c>
      <c r="F76" s="316">
        <v>19.5</v>
      </c>
      <c r="G76" s="328">
        <v>19.5</v>
      </c>
      <c r="H76" s="252">
        <v>0</v>
      </c>
      <c r="I76" s="216"/>
      <c r="J76" s="340"/>
      <c r="K76" s="341"/>
      <c r="L76" s="187"/>
      <c r="M76" s="331"/>
    </row>
    <row r="77" spans="1:14">
      <c r="A77" s="332">
        <f>A15+A31+A37+A50+A67+A72+A76</f>
        <v>63</v>
      </c>
      <c r="B77" s="333"/>
      <c r="C77" s="231" t="s">
        <v>720</v>
      </c>
      <c r="D77" s="333">
        <f>D6+D16+D32+D38+D51+D68+D73</f>
        <v>167</v>
      </c>
      <c r="E77" s="333">
        <f>E6+E16+E32+E38+E51+E68+E73</f>
        <v>91</v>
      </c>
      <c r="F77" s="247">
        <f>F6+F16+F32+F38+F51+F68+F73</f>
        <v>1894.1000000000001</v>
      </c>
      <c r="G77" s="247">
        <f>G6+G16+G32+G38+G51+G68+G73</f>
        <v>823.56999999999994</v>
      </c>
      <c r="H77" s="247">
        <f>H6+H16+H32+H38+H51+H68+H73</f>
        <v>1070.53</v>
      </c>
      <c r="I77" s="187"/>
      <c r="J77" s="340"/>
      <c r="K77" s="341"/>
      <c r="L77" s="187"/>
      <c r="M77" s="310">
        <f>F77*47000*1.2</f>
        <v>106827240</v>
      </c>
      <c r="N77" s="313">
        <v>1379.05</v>
      </c>
    </row>
    <row r="78" spans="1:14">
      <c r="A78" s="314"/>
      <c r="B78" s="335"/>
      <c r="C78" s="315"/>
      <c r="D78" s="180"/>
      <c r="E78" s="182"/>
      <c r="F78" s="316"/>
      <c r="G78" s="317"/>
      <c r="H78" s="252"/>
      <c r="I78" s="216"/>
      <c r="J78" s="340"/>
      <c r="K78" s="341"/>
      <c r="L78" s="216"/>
      <c r="M78" s="331"/>
      <c r="N78" s="338">
        <f>SUM(M6:M74)</f>
        <v>106827240</v>
      </c>
    </row>
    <row r="79" spans="1:14">
      <c r="A79" s="613" t="s">
        <v>721</v>
      </c>
      <c r="B79" s="614"/>
      <c r="C79" s="614"/>
      <c r="D79" s="614"/>
      <c r="E79" s="614"/>
      <c r="F79" s="614"/>
      <c r="G79" s="614"/>
      <c r="H79" s="614"/>
      <c r="I79" s="614"/>
      <c r="J79" s="614"/>
      <c r="K79" s="614"/>
      <c r="L79" s="614"/>
      <c r="M79" s="615"/>
    </row>
    <row r="80" spans="1:14">
      <c r="A80" s="616"/>
      <c r="B80" s="617"/>
      <c r="C80" s="617"/>
      <c r="D80" s="617"/>
      <c r="E80" s="617"/>
      <c r="F80" s="617"/>
      <c r="G80" s="617"/>
      <c r="H80" s="617"/>
      <c r="I80" s="617"/>
      <c r="J80" s="617"/>
      <c r="K80" s="617"/>
      <c r="L80" s="617"/>
      <c r="M80" s="618"/>
    </row>
    <row r="81" spans="1:13">
      <c r="A81" s="616"/>
      <c r="B81" s="617"/>
      <c r="C81" s="617"/>
      <c r="D81" s="617"/>
      <c r="E81" s="617"/>
      <c r="F81" s="617"/>
      <c r="G81" s="617"/>
      <c r="H81" s="617"/>
      <c r="I81" s="617"/>
      <c r="J81" s="617"/>
      <c r="K81" s="617"/>
      <c r="L81" s="617"/>
      <c r="M81" s="618"/>
    </row>
    <row r="82" spans="1:13">
      <c r="A82" s="619"/>
      <c r="B82" s="620"/>
      <c r="C82" s="620"/>
      <c r="D82" s="620"/>
      <c r="E82" s="620"/>
      <c r="F82" s="620"/>
      <c r="G82" s="620"/>
      <c r="H82" s="620"/>
      <c r="I82" s="620"/>
      <c r="J82" s="620"/>
      <c r="K82" s="620"/>
      <c r="L82" s="620"/>
      <c r="M82" s="621"/>
    </row>
    <row r="83" spans="1:13">
      <c r="A83" s="314"/>
      <c r="B83" s="335"/>
      <c r="C83" s="315"/>
      <c r="D83" s="180"/>
      <c r="E83" s="182"/>
      <c r="F83" s="316"/>
      <c r="G83" s="317"/>
      <c r="H83" s="252"/>
      <c r="I83" s="216"/>
      <c r="J83" s="216"/>
      <c r="K83" s="216"/>
      <c r="L83" s="216"/>
      <c r="M83" s="331"/>
    </row>
    <row r="84" spans="1:13">
      <c r="A84" s="314"/>
      <c r="B84" s="335"/>
      <c r="C84" s="315"/>
      <c r="D84" s="180"/>
      <c r="E84" s="182"/>
      <c r="F84" s="316"/>
      <c r="G84" s="317"/>
      <c r="H84" s="252"/>
      <c r="I84" s="216"/>
      <c r="J84" s="216"/>
      <c r="K84" s="216"/>
      <c r="L84" s="216"/>
      <c r="M84" s="331"/>
    </row>
    <row r="85" spans="1:13">
      <c r="A85" s="336"/>
      <c r="B85" s="336"/>
      <c r="C85" s="336"/>
      <c r="D85" s="336"/>
      <c r="E85" s="336"/>
      <c r="F85" s="336"/>
      <c r="G85" s="336"/>
      <c r="H85" s="337"/>
      <c r="I85" s="337"/>
      <c r="J85" s="337"/>
      <c r="K85" s="337"/>
      <c r="L85" s="337"/>
      <c r="M85" s="336"/>
    </row>
    <row r="87" spans="1:13">
      <c r="A87" s="504" t="s">
        <v>563</v>
      </c>
      <c r="B87" s="504"/>
      <c r="C87" s="504"/>
    </row>
    <row r="89" spans="1:13">
      <c r="D89" t="s">
        <v>632</v>
      </c>
      <c r="E89" t="s">
        <v>633</v>
      </c>
      <c r="F89" t="s">
        <v>634</v>
      </c>
    </row>
    <row r="90" spans="1:13">
      <c r="C90" t="s">
        <v>572</v>
      </c>
      <c r="D90" s="338">
        <f>D15+D23+D26+D34+D36+D44+D52+D54+D55+D56+D58+D59+D61+D62+D65</f>
        <v>29</v>
      </c>
      <c r="E90">
        <v>15</v>
      </c>
      <c r="F90" s="338">
        <f>F15+F23+F26+F34+F36+F44+F52+F54+F55+F56+F58+F59+F61+F62+F65</f>
        <v>452.48999999999995</v>
      </c>
    </row>
  </sheetData>
  <mergeCells count="15">
    <mergeCell ref="A1:M1"/>
    <mergeCell ref="A2:M2"/>
    <mergeCell ref="D4:D5"/>
    <mergeCell ref="E4:E5"/>
    <mergeCell ref="F4:F5"/>
    <mergeCell ref="G4:G5"/>
    <mergeCell ref="H4:H5"/>
    <mergeCell ref="I4:L4"/>
    <mergeCell ref="M4:M5"/>
    <mergeCell ref="A87:C87"/>
    <mergeCell ref="A79:M82"/>
    <mergeCell ref="B17:B20"/>
    <mergeCell ref="B21:B24"/>
    <mergeCell ref="B25:B28"/>
    <mergeCell ref="B29:B31"/>
  </mergeCells>
  <phoneticPr fontId="63" type="noConversion"/>
  <pageMargins left="0.70866141732283472" right="0" top="0.74803149606299213" bottom="0" header="0.31496062992125984" footer="0.31496062992125984"/>
  <pageSetup paperSize="9" scale="52" fitToHeight="2" orientation="portrait" r:id="rId1"/>
</worksheet>
</file>

<file path=xl/worksheets/sheet11.xml><?xml version="1.0" encoding="utf-8"?>
<worksheet xmlns="http://schemas.openxmlformats.org/spreadsheetml/2006/main" xmlns:r="http://schemas.openxmlformats.org/officeDocument/2006/relationships">
  <sheetPr>
    <tabColor rgb="FF92D050"/>
    <pageSetUpPr fitToPage="1"/>
  </sheetPr>
  <dimension ref="A1:Y94"/>
  <sheetViews>
    <sheetView topLeftCell="A3" zoomScale="85" zoomScaleNormal="85" workbookViewId="0">
      <pane xSplit="4" ySplit="4" topLeftCell="G52" activePane="bottomRight" state="frozen"/>
      <selection activeCell="C22" activeCellId="1" sqref="C19 C22"/>
      <selection pane="topRight" activeCell="C22" activeCellId="1" sqref="C19 C22"/>
      <selection pane="bottomLeft" activeCell="C22" activeCellId="1" sqref="C19 C22"/>
      <selection pane="bottomRight" activeCell="T7" sqref="T7"/>
    </sheetView>
  </sheetViews>
  <sheetFormatPr defaultColWidth="8.85546875" defaultRowHeight="15"/>
  <cols>
    <col min="1" max="1" width="3.28515625" style="142" customWidth="1"/>
    <col min="2" max="2" width="4" style="142" customWidth="1"/>
    <col min="3" max="3" width="33.85546875" style="142" customWidth="1"/>
    <col min="4" max="5" width="6.42578125" style="142" customWidth="1"/>
    <col min="6" max="6" width="6.140625" style="142" customWidth="1"/>
    <col min="7" max="7" width="11.28515625" style="142" customWidth="1"/>
    <col min="8" max="8" width="9.5703125" style="142" customWidth="1"/>
    <col min="9" max="9" width="10.28515625" style="258" customWidth="1"/>
    <col min="10" max="10" width="9" style="142" customWidth="1"/>
    <col min="11" max="11" width="17.140625" style="142" customWidth="1"/>
    <col min="12" max="12" width="11.85546875" style="259" customWidth="1"/>
    <col min="13" max="13" width="11.85546875" style="142" customWidth="1"/>
    <col min="14" max="14" width="11.85546875" style="62" customWidth="1"/>
    <col min="15" max="16" width="11.85546875" style="142" customWidth="1"/>
    <col min="17" max="17" width="16" style="142" customWidth="1"/>
    <col min="18" max="19" width="14.42578125" style="142" customWidth="1"/>
    <col min="20" max="20" width="17.7109375" style="142" customWidth="1"/>
    <col min="21" max="16384" width="8.85546875" style="142"/>
  </cols>
  <sheetData>
    <row r="1" spans="1:20" ht="36.6" customHeight="1">
      <c r="A1" s="626" t="s">
        <v>425</v>
      </c>
      <c r="B1" s="626"/>
      <c r="C1" s="626"/>
      <c r="D1" s="626"/>
      <c r="E1" s="626"/>
      <c r="F1" s="626"/>
      <c r="G1" s="626"/>
      <c r="H1" s="626"/>
      <c r="I1" s="626"/>
      <c r="J1" s="626"/>
      <c r="K1" s="626"/>
      <c r="L1" s="626"/>
      <c r="M1" s="626"/>
      <c r="N1" s="626"/>
      <c r="O1" s="146"/>
    </row>
    <row r="2" spans="1:20" ht="18" customHeight="1">
      <c r="A2" s="626" t="s">
        <v>426</v>
      </c>
      <c r="B2" s="626"/>
      <c r="C2" s="626"/>
      <c r="D2" s="626"/>
      <c r="E2" s="626"/>
      <c r="F2" s="626"/>
      <c r="G2" s="626"/>
      <c r="H2" s="626"/>
      <c r="I2" s="626"/>
      <c r="J2" s="626"/>
      <c r="K2" s="626"/>
      <c r="L2" s="626"/>
      <c r="M2" s="626"/>
      <c r="N2" s="626"/>
      <c r="O2" s="146"/>
    </row>
    <row r="3" spans="1:20" ht="15.6" customHeight="1">
      <c r="A3" s="146"/>
      <c r="B3" s="146"/>
      <c r="C3" s="146"/>
      <c r="D3" s="146"/>
      <c r="E3" s="146"/>
      <c r="F3" s="146"/>
      <c r="G3" s="146"/>
      <c r="H3" s="146"/>
      <c r="I3" s="146"/>
      <c r="J3" s="147">
        <v>4</v>
      </c>
      <c r="K3" s="148" t="s">
        <v>427</v>
      </c>
      <c r="L3" s="146"/>
      <c r="M3" s="146"/>
      <c r="N3" s="146"/>
      <c r="O3" s="146"/>
    </row>
    <row r="4" spans="1:20" ht="15.6" customHeight="1">
      <c r="A4" s="149"/>
      <c r="B4" s="149"/>
      <c r="C4" s="149"/>
      <c r="D4" s="149"/>
      <c r="E4" s="149"/>
      <c r="F4" s="149"/>
      <c r="G4" s="149"/>
      <c r="H4" s="149"/>
      <c r="I4" s="150"/>
      <c r="J4" s="151">
        <v>9</v>
      </c>
      <c r="K4" s="148" t="s">
        <v>428</v>
      </c>
      <c r="L4" s="152"/>
      <c r="M4" s="149"/>
      <c r="N4" s="153"/>
      <c r="O4" s="149"/>
    </row>
    <row r="5" spans="1:20" ht="30.6" customHeight="1">
      <c r="A5" s="154"/>
      <c r="B5" s="154"/>
      <c r="C5" s="154"/>
      <c r="D5" s="606" t="s">
        <v>429</v>
      </c>
      <c r="E5" s="155"/>
      <c r="F5" s="606" t="s">
        <v>430</v>
      </c>
      <c r="G5" s="606" t="s">
        <v>431</v>
      </c>
      <c r="H5" s="606" t="s">
        <v>432</v>
      </c>
      <c r="I5" s="627" t="s">
        <v>433</v>
      </c>
      <c r="J5" s="623" t="s">
        <v>434</v>
      </c>
      <c r="K5" s="625"/>
      <c r="L5" s="156"/>
      <c r="M5" s="157"/>
      <c r="N5" s="158"/>
      <c r="O5" s="157"/>
      <c r="P5" s="606" t="s">
        <v>435</v>
      </c>
      <c r="Q5" s="606"/>
      <c r="R5" s="606"/>
      <c r="S5" s="606"/>
      <c r="T5" s="606"/>
    </row>
    <row r="6" spans="1:20" ht="88.15" customHeight="1">
      <c r="A6" s="159" t="s">
        <v>3</v>
      </c>
      <c r="B6" s="159" t="s">
        <v>436</v>
      </c>
      <c r="C6" s="160" t="s">
        <v>437</v>
      </c>
      <c r="D6" s="607"/>
      <c r="E6" s="161" t="s">
        <v>438</v>
      </c>
      <c r="F6" s="607"/>
      <c r="G6" s="607"/>
      <c r="H6" s="607"/>
      <c r="I6" s="628"/>
      <c r="J6" s="162" t="s">
        <v>439</v>
      </c>
      <c r="K6" s="163" t="s">
        <v>440</v>
      </c>
      <c r="L6" s="164"/>
      <c r="M6" s="165"/>
      <c r="N6" s="166" t="s">
        <v>441</v>
      </c>
      <c r="O6" s="165" t="s">
        <v>442</v>
      </c>
      <c r="P6" s="607"/>
      <c r="Q6" s="607"/>
      <c r="R6" s="607"/>
      <c r="S6" s="607"/>
      <c r="T6" s="607"/>
    </row>
    <row r="7" spans="1:20">
      <c r="A7" s="154"/>
      <c r="B7" s="154"/>
      <c r="C7" s="167" t="s">
        <v>443</v>
      </c>
      <c r="D7" s="168">
        <f>SUM(D8:D17)</f>
        <v>25</v>
      </c>
      <c r="E7" s="168"/>
      <c r="F7" s="168">
        <f t="shared" ref="F7:K7" si="0">SUM(F8:F17)</f>
        <v>12</v>
      </c>
      <c r="G7" s="169">
        <f t="shared" si="0"/>
        <v>267.74000000000007</v>
      </c>
      <c r="H7" s="168">
        <f t="shared" si="0"/>
        <v>67.39</v>
      </c>
      <c r="I7" s="170">
        <f t="shared" si="0"/>
        <v>200.35000000000002</v>
      </c>
      <c r="J7" s="168">
        <f t="shared" si="0"/>
        <v>68.97</v>
      </c>
      <c r="K7" s="169">
        <f t="shared" si="0"/>
        <v>198.77000000000004</v>
      </c>
      <c r="L7" s="171"/>
      <c r="M7" s="172"/>
      <c r="N7" s="173" t="s">
        <v>444</v>
      </c>
      <c r="O7" s="174"/>
      <c r="P7" s="175">
        <f>SUM(P8:P17)</f>
        <v>321.28799999999995</v>
      </c>
      <c r="Q7" s="176">
        <v>9443644.3100000005</v>
      </c>
      <c r="R7" s="176">
        <v>4525513.3499999996</v>
      </c>
      <c r="S7" s="176">
        <v>1131378.3400000001</v>
      </c>
      <c r="T7" s="415">
        <f>SUM(Q7:S7)</f>
        <v>15100536</v>
      </c>
    </row>
    <row r="8" spans="1:20">
      <c r="A8" s="177">
        <v>1</v>
      </c>
      <c r="B8" s="178">
        <v>1</v>
      </c>
      <c r="C8" s="179" t="s">
        <v>445</v>
      </c>
      <c r="D8" s="180">
        <v>1</v>
      </c>
      <c r="E8" s="181" t="s">
        <v>446</v>
      </c>
      <c r="F8" s="182">
        <v>1</v>
      </c>
      <c r="G8" s="183">
        <v>26.74</v>
      </c>
      <c r="H8" s="184">
        <v>0</v>
      </c>
      <c r="I8" s="185">
        <v>26.74</v>
      </c>
      <c r="J8" s="186"/>
      <c r="K8" s="187">
        <v>26.74</v>
      </c>
      <c r="L8" s="188">
        <f>75.32*355/1000</f>
        <v>26.738599999999998</v>
      </c>
      <c r="M8" s="189"/>
      <c r="N8" s="190" t="s">
        <v>447</v>
      </c>
      <c r="O8" s="191"/>
      <c r="P8" s="175">
        <f>G8*1.2</f>
        <v>32.087999999999994</v>
      </c>
      <c r="Q8" s="176">
        <f>Q7/P7*P8</f>
        <v>943165.19328228885</v>
      </c>
      <c r="R8" s="176">
        <f>R7/P7*P8</f>
        <v>451976.64517442288</v>
      </c>
      <c r="S8" s="176">
        <f>S7/P7*P8</f>
        <v>112994.16154328827</v>
      </c>
      <c r="T8" s="415">
        <f>SUM(Q8:S8)</f>
        <v>1508136</v>
      </c>
    </row>
    <row r="9" spans="1:20" ht="51">
      <c r="A9" s="177">
        <v>2</v>
      </c>
      <c r="B9" s="178">
        <v>1</v>
      </c>
      <c r="C9" s="192" t="s">
        <v>448</v>
      </c>
      <c r="D9" s="180">
        <v>4</v>
      </c>
      <c r="E9" s="182" t="s">
        <v>449</v>
      </c>
      <c r="F9" s="182">
        <v>1</v>
      </c>
      <c r="G9" s="183">
        <v>18.07</v>
      </c>
      <c r="H9" s="184">
        <v>0</v>
      </c>
      <c r="I9" s="185">
        <v>18.07</v>
      </c>
      <c r="J9" s="193" t="s">
        <v>450</v>
      </c>
      <c r="K9" s="187">
        <v>18.07</v>
      </c>
      <c r="L9" s="188">
        <f>75.32*240/1000</f>
        <v>18.076799999999999</v>
      </c>
      <c r="M9" s="189"/>
      <c r="N9" s="190" t="s">
        <v>451</v>
      </c>
      <c r="O9" s="194" t="s">
        <v>452</v>
      </c>
      <c r="P9" s="175">
        <f>G9*1.2</f>
        <v>21.684000000000001</v>
      </c>
      <c r="Q9" s="176">
        <f>Q8/P8*P9</f>
        <v>637359.5752659298</v>
      </c>
      <c r="R9" s="176">
        <f>R8/P8*P9</f>
        <v>305430.73965227458</v>
      </c>
      <c r="S9" s="176">
        <f>S8/P8*P9</f>
        <v>76357.685081795789</v>
      </c>
      <c r="T9" s="415">
        <f t="shared" ref="T9:T61" si="1">SUM(Q9:S9)</f>
        <v>1019148.0000000002</v>
      </c>
    </row>
    <row r="10" spans="1:20" ht="19.149999999999999" customHeight="1">
      <c r="A10" s="177">
        <v>3</v>
      </c>
      <c r="B10" s="177">
        <v>1</v>
      </c>
      <c r="C10" s="179" t="s">
        <v>453</v>
      </c>
      <c r="D10" s="180">
        <v>4</v>
      </c>
      <c r="E10" s="181" t="s">
        <v>446</v>
      </c>
      <c r="F10" s="182">
        <v>1</v>
      </c>
      <c r="G10" s="183">
        <v>30.5</v>
      </c>
      <c r="H10" s="184">
        <v>30.5</v>
      </c>
      <c r="I10" s="185">
        <v>0</v>
      </c>
      <c r="J10" s="186"/>
      <c r="K10" s="187">
        <v>30.5</v>
      </c>
      <c r="L10" s="195">
        <v>24.51</v>
      </c>
      <c r="M10" s="189"/>
      <c r="N10" s="190" t="s">
        <v>454</v>
      </c>
      <c r="O10" s="196"/>
      <c r="P10" s="175">
        <f t="shared" ref="P10:P17" si="2">G10*1.2</f>
        <v>36.6</v>
      </c>
      <c r="Q10" s="176">
        <f t="shared" ref="Q10:Q46" si="3">Q9/P9*P10</f>
        <v>1075786.7761821174</v>
      </c>
      <c r="R10" s="176">
        <f t="shared" ref="R10:R61" si="4">R9/P9*P10</f>
        <v>515530.57882647339</v>
      </c>
      <c r="S10" s="176">
        <f t="shared" ref="S10:S61" si="5">S9/P9*P10</f>
        <v>128882.6449914096</v>
      </c>
      <c r="T10" s="415">
        <f t="shared" si="1"/>
        <v>1720200.0000000002</v>
      </c>
    </row>
    <row r="11" spans="1:20">
      <c r="A11" s="177">
        <v>4</v>
      </c>
      <c r="B11" s="180">
        <v>2</v>
      </c>
      <c r="C11" s="197" t="s">
        <v>455</v>
      </c>
      <c r="D11" s="198">
        <v>4</v>
      </c>
      <c r="E11" s="199"/>
      <c r="F11" s="199">
        <v>2</v>
      </c>
      <c r="G11" s="200">
        <v>36.89</v>
      </c>
      <c r="H11" s="201">
        <v>36.89</v>
      </c>
      <c r="I11" s="200">
        <v>0</v>
      </c>
      <c r="J11" s="202"/>
      <c r="K11" s="203">
        <v>36.89</v>
      </c>
      <c r="L11" s="204">
        <v>30.36</v>
      </c>
      <c r="M11" s="205"/>
      <c r="N11" s="206" t="s">
        <v>456</v>
      </c>
      <c r="O11" s="206"/>
      <c r="P11" s="207">
        <f>G11*1.2</f>
        <v>44.268000000000001</v>
      </c>
      <c r="Q11" s="208">
        <f t="shared" si="3"/>
        <v>1301172.9237166659</v>
      </c>
      <c r="R11" s="208">
        <f t="shared" si="4"/>
        <v>623538.46075110172</v>
      </c>
      <c r="S11" s="208">
        <f t="shared" si="5"/>
        <v>155884.6155322328</v>
      </c>
      <c r="T11" s="415">
        <f t="shared" si="1"/>
        <v>2080596.0000000005</v>
      </c>
    </row>
    <row r="12" spans="1:20">
      <c r="A12" s="177">
        <v>5</v>
      </c>
      <c r="B12" s="209">
        <v>2</v>
      </c>
      <c r="C12" s="179" t="s">
        <v>457</v>
      </c>
      <c r="D12" s="180">
        <v>1</v>
      </c>
      <c r="E12" s="181" t="s">
        <v>446</v>
      </c>
      <c r="F12" s="182">
        <v>1</v>
      </c>
      <c r="G12" s="183">
        <v>22.7</v>
      </c>
      <c r="H12" s="184">
        <v>0</v>
      </c>
      <c r="I12" s="185">
        <v>22.7</v>
      </c>
      <c r="J12" s="210"/>
      <c r="K12" s="187">
        <v>22.7</v>
      </c>
      <c r="L12" s="188">
        <f>59.59*381/1000</f>
        <v>22.703790000000001</v>
      </c>
      <c r="M12" s="211" t="s">
        <v>458</v>
      </c>
      <c r="N12" s="190" t="s">
        <v>459</v>
      </c>
      <c r="O12" s="191"/>
      <c r="P12" s="175">
        <f t="shared" si="2"/>
        <v>27.24</v>
      </c>
      <c r="Q12" s="176">
        <f t="shared" si="3"/>
        <v>800667.5350601332</v>
      </c>
      <c r="R12" s="176">
        <f>R11/P11*P12</f>
        <v>383689.97178232606</v>
      </c>
      <c r="S12" s="176">
        <f t="shared" si="5"/>
        <v>95922.493157540914</v>
      </c>
      <c r="T12" s="415">
        <f t="shared" si="1"/>
        <v>1280280.0000000002</v>
      </c>
    </row>
    <row r="13" spans="1:20" ht="25.5">
      <c r="A13" s="177">
        <v>6</v>
      </c>
      <c r="B13" s="180">
        <v>3</v>
      </c>
      <c r="C13" s="192" t="s">
        <v>460</v>
      </c>
      <c r="D13" s="180">
        <v>2</v>
      </c>
      <c r="E13" s="182"/>
      <c r="F13" s="212">
        <v>1</v>
      </c>
      <c r="G13" s="183">
        <v>29.37</v>
      </c>
      <c r="H13" s="184">
        <v>0</v>
      </c>
      <c r="I13" s="185">
        <v>29.37</v>
      </c>
      <c r="J13" s="213">
        <f>G13</f>
        <v>29.37</v>
      </c>
      <c r="K13" s="187"/>
      <c r="L13" s="188">
        <f>73.98*397/1000</f>
        <v>29.370060000000002</v>
      </c>
      <c r="M13" s="211" t="s">
        <v>461</v>
      </c>
      <c r="N13" s="214" t="s">
        <v>462</v>
      </c>
      <c r="O13" s="196"/>
      <c r="P13" s="175">
        <f t="shared" si="2"/>
        <v>35.244</v>
      </c>
      <c r="Q13" s="176">
        <f t="shared" si="3"/>
        <v>1035929.7579170094</v>
      </c>
      <c r="R13" s="176">
        <f t="shared" si="4"/>
        <v>496430.59344700078</v>
      </c>
      <c r="S13" s="176">
        <f t="shared" si="5"/>
        <v>124107.64863599016</v>
      </c>
      <c r="T13" s="415">
        <f t="shared" si="1"/>
        <v>1656468.0000000005</v>
      </c>
    </row>
    <row r="14" spans="1:20" ht="38.25">
      <c r="A14" s="177">
        <v>7</v>
      </c>
      <c r="B14" s="180">
        <v>3</v>
      </c>
      <c r="C14" s="192" t="s">
        <v>463</v>
      </c>
      <c r="D14" s="180">
        <v>0</v>
      </c>
      <c r="E14" s="182" t="s">
        <v>449</v>
      </c>
      <c r="F14" s="182">
        <v>1</v>
      </c>
      <c r="G14" s="183">
        <v>17.829999999999998</v>
      </c>
      <c r="H14" s="184">
        <v>0</v>
      </c>
      <c r="I14" s="185">
        <v>17.829999999999998</v>
      </c>
      <c r="J14" s="210"/>
      <c r="K14" s="187">
        <v>17.829999999999998</v>
      </c>
      <c r="L14" s="188">
        <f>74*241/1000</f>
        <v>17.834</v>
      </c>
      <c r="M14" s="211"/>
      <c r="N14" s="190" t="s">
        <v>464</v>
      </c>
      <c r="O14" s="194" t="s">
        <v>465</v>
      </c>
      <c r="P14" s="175">
        <f t="shared" si="2"/>
        <v>21.395999999999997</v>
      </c>
      <c r="Q14" s="176">
        <f t="shared" si="3"/>
        <v>628894.36784679187</v>
      </c>
      <c r="R14" s="176">
        <f t="shared" si="4"/>
        <v>301374.10558937769</v>
      </c>
      <c r="S14" s="176">
        <f t="shared" si="5"/>
        <v>75343.526563830586</v>
      </c>
      <c r="T14" s="415">
        <f t="shared" si="1"/>
        <v>1005612.0000000001</v>
      </c>
    </row>
    <row r="15" spans="1:20" ht="76.5">
      <c r="A15" s="177">
        <v>8</v>
      </c>
      <c r="B15" s="209">
        <v>3</v>
      </c>
      <c r="C15" s="192" t="s">
        <v>466</v>
      </c>
      <c r="D15" s="180">
        <v>3</v>
      </c>
      <c r="E15" s="215" t="s">
        <v>446</v>
      </c>
      <c r="F15" s="182">
        <v>1</v>
      </c>
      <c r="G15" s="183">
        <v>26.8</v>
      </c>
      <c r="H15" s="184">
        <v>0</v>
      </c>
      <c r="I15" s="185">
        <v>26.8</v>
      </c>
      <c r="J15" s="216"/>
      <c r="K15" s="187">
        <v>26.8</v>
      </c>
      <c r="L15" s="188">
        <f>74*1448/4000</f>
        <v>26.788</v>
      </c>
      <c r="M15" s="211"/>
      <c r="N15" s="190" t="s">
        <v>467</v>
      </c>
      <c r="O15" s="194" t="s">
        <v>468</v>
      </c>
      <c r="P15" s="175">
        <f t="shared" si="2"/>
        <v>32.159999999999997</v>
      </c>
      <c r="Q15" s="176">
        <f t="shared" si="3"/>
        <v>945281.49513707368</v>
      </c>
      <c r="R15" s="176">
        <f t="shared" si="4"/>
        <v>452990.80369014706</v>
      </c>
      <c r="S15" s="176">
        <f t="shared" si="5"/>
        <v>113247.70117277958</v>
      </c>
      <c r="T15" s="415">
        <f t="shared" si="1"/>
        <v>1511520.0000000002</v>
      </c>
    </row>
    <row r="16" spans="1:20">
      <c r="A16" s="177">
        <v>9</v>
      </c>
      <c r="B16" s="209">
        <v>4</v>
      </c>
      <c r="C16" s="179" t="s">
        <v>469</v>
      </c>
      <c r="D16" s="180">
        <v>2</v>
      </c>
      <c r="E16" s="181" t="s">
        <v>449</v>
      </c>
      <c r="F16" s="182">
        <v>1</v>
      </c>
      <c r="G16" s="183">
        <v>19.239999999999998</v>
      </c>
      <c r="H16" s="184">
        <v>0</v>
      </c>
      <c r="I16" s="185">
        <v>19.239999999999998</v>
      </c>
      <c r="J16" s="216"/>
      <c r="K16" s="187">
        <v>19.239999999999998</v>
      </c>
      <c r="L16" s="188">
        <f>58.85*327/1000</f>
        <v>19.243950000000002</v>
      </c>
      <c r="M16" s="211"/>
      <c r="N16" s="190" t="s">
        <v>470</v>
      </c>
      <c r="O16" s="191"/>
      <c r="P16" s="175">
        <f t="shared" si="2"/>
        <v>23.087999999999997</v>
      </c>
      <c r="Q16" s="176">
        <f t="shared" si="3"/>
        <v>678627.46143422753</v>
      </c>
      <c r="R16" s="176">
        <f t="shared" si="4"/>
        <v>325206.83070889662</v>
      </c>
      <c r="S16" s="176">
        <f t="shared" si="5"/>
        <v>81301.707856876077</v>
      </c>
      <c r="T16" s="415">
        <f t="shared" si="1"/>
        <v>1085136.0000000002</v>
      </c>
    </row>
    <row r="17" spans="1:20" ht="51">
      <c r="A17" s="177">
        <v>10</v>
      </c>
      <c r="B17" s="180">
        <v>4</v>
      </c>
      <c r="C17" s="192" t="s">
        <v>471</v>
      </c>
      <c r="D17" s="180">
        <v>4</v>
      </c>
      <c r="E17" s="182"/>
      <c r="F17" s="217">
        <v>2</v>
      </c>
      <c r="G17" s="183">
        <v>39.6</v>
      </c>
      <c r="H17" s="184">
        <v>0</v>
      </c>
      <c r="I17" s="185">
        <f>G17</f>
        <v>39.6</v>
      </c>
      <c r="J17" s="218">
        <f>G17</f>
        <v>39.6</v>
      </c>
      <c r="K17" s="187"/>
      <c r="L17" s="188">
        <f>58.85*673/1000</f>
        <v>39.606050000000003</v>
      </c>
      <c r="M17" s="211"/>
      <c r="N17" s="214" t="s">
        <v>472</v>
      </c>
      <c r="O17" s="196"/>
      <c r="P17" s="175">
        <f t="shared" si="2"/>
        <v>47.52</v>
      </c>
      <c r="Q17" s="176">
        <f t="shared" si="3"/>
        <v>1396759.2241577657</v>
      </c>
      <c r="R17" s="176">
        <f t="shared" si="4"/>
        <v>669344.62037797854</v>
      </c>
      <c r="S17" s="176">
        <f t="shared" si="5"/>
        <v>167336.15546425642</v>
      </c>
      <c r="T17" s="415">
        <f t="shared" si="1"/>
        <v>2233440.0000000009</v>
      </c>
    </row>
    <row r="18" spans="1:20">
      <c r="A18" s="177"/>
      <c r="B18" s="180"/>
      <c r="C18" s="219" t="s">
        <v>473</v>
      </c>
      <c r="D18" s="220">
        <f>SUM(D19:D22)</f>
        <v>19</v>
      </c>
      <c r="E18" s="220"/>
      <c r="F18" s="220">
        <f t="shared" ref="F18:K18" si="6">SUM(F19:F22)</f>
        <v>12</v>
      </c>
      <c r="G18" s="221">
        <f t="shared" si="6"/>
        <v>199.32999999999998</v>
      </c>
      <c r="H18" s="221">
        <f t="shared" si="6"/>
        <v>50.04</v>
      </c>
      <c r="I18" s="222">
        <f t="shared" si="6"/>
        <v>149.29</v>
      </c>
      <c r="J18" s="220">
        <f t="shared" si="6"/>
        <v>49.79</v>
      </c>
      <c r="K18" s="220">
        <f t="shared" si="6"/>
        <v>199.32999999999998</v>
      </c>
      <c r="L18" s="188"/>
      <c r="M18" s="223"/>
      <c r="N18" s="224" t="s">
        <v>474</v>
      </c>
      <c r="O18" s="225"/>
      <c r="P18" s="175">
        <f>SUM(P19:P22)</f>
        <v>239.196</v>
      </c>
      <c r="Q18" s="176">
        <f t="shared" si="3"/>
        <v>7030707.4785698848</v>
      </c>
      <c r="R18" s="176">
        <f t="shared" si="4"/>
        <v>3369203.6156551121</v>
      </c>
      <c r="S18" s="176">
        <f t="shared" si="5"/>
        <v>842300.90577500581</v>
      </c>
      <c r="T18" s="415">
        <f t="shared" si="1"/>
        <v>11242212.000000002</v>
      </c>
    </row>
    <row r="19" spans="1:20" ht="38.25">
      <c r="A19" s="177">
        <v>1</v>
      </c>
      <c r="B19" s="180">
        <v>1</v>
      </c>
      <c r="C19" s="226" t="s">
        <v>475</v>
      </c>
      <c r="D19" s="180">
        <v>4</v>
      </c>
      <c r="E19" s="181"/>
      <c r="F19" s="227">
        <v>3</v>
      </c>
      <c r="G19" s="228">
        <v>50</v>
      </c>
      <c r="H19" s="184">
        <v>0</v>
      </c>
      <c r="I19" s="185">
        <v>50</v>
      </c>
      <c r="J19" s="216"/>
      <c r="K19" s="187">
        <v>50</v>
      </c>
      <c r="L19" s="188">
        <v>50</v>
      </c>
      <c r="M19" s="211"/>
      <c r="N19" s="190" t="s">
        <v>476</v>
      </c>
      <c r="O19" s="191"/>
      <c r="P19" s="175">
        <f t="shared" ref="P19:P60" si="7">G19*1.2</f>
        <v>60</v>
      </c>
      <c r="Q19" s="176">
        <f t="shared" si="3"/>
        <v>1763584.8789870779</v>
      </c>
      <c r="R19" s="176">
        <f t="shared" si="4"/>
        <v>845132.09643684153</v>
      </c>
      <c r="S19" s="176">
        <f t="shared" si="5"/>
        <v>211283.02457608131</v>
      </c>
      <c r="T19" s="415">
        <f t="shared" si="1"/>
        <v>2820000.0000000009</v>
      </c>
    </row>
    <row r="20" spans="1:20" ht="55.15" customHeight="1">
      <c r="A20" s="177">
        <v>2</v>
      </c>
      <c r="B20" s="180">
        <v>2</v>
      </c>
      <c r="C20" s="229" t="s">
        <v>477</v>
      </c>
      <c r="D20" s="180">
        <v>6</v>
      </c>
      <c r="E20" s="182"/>
      <c r="F20" s="212">
        <v>3</v>
      </c>
      <c r="G20" s="183">
        <v>49.79</v>
      </c>
      <c r="H20" s="184">
        <v>0</v>
      </c>
      <c r="I20" s="185">
        <f>G20</f>
        <v>49.79</v>
      </c>
      <c r="J20" s="213">
        <f>G20</f>
        <v>49.79</v>
      </c>
      <c r="K20" s="187">
        <v>49.79</v>
      </c>
      <c r="L20" s="188">
        <v>49.8</v>
      </c>
      <c r="M20" s="230" t="s">
        <v>478</v>
      </c>
      <c r="N20" s="214" t="s">
        <v>478</v>
      </c>
      <c r="O20" s="196"/>
      <c r="P20" s="175">
        <f t="shared" si="7"/>
        <v>59.747999999999998</v>
      </c>
      <c r="Q20" s="176">
        <f t="shared" si="3"/>
        <v>1756177.822495332</v>
      </c>
      <c r="R20" s="176">
        <f t="shared" si="4"/>
        <v>841582.54163180676</v>
      </c>
      <c r="S20" s="176">
        <f t="shared" si="5"/>
        <v>210395.63587286178</v>
      </c>
      <c r="T20" s="415">
        <f t="shared" si="1"/>
        <v>2808156.0000000005</v>
      </c>
    </row>
    <row r="21" spans="1:20">
      <c r="A21" s="177">
        <v>3</v>
      </c>
      <c r="B21" s="180">
        <v>3</v>
      </c>
      <c r="C21" s="179" t="s">
        <v>479</v>
      </c>
      <c r="D21" s="180">
        <v>5</v>
      </c>
      <c r="E21" s="181"/>
      <c r="F21" s="227">
        <v>3</v>
      </c>
      <c r="G21" s="228">
        <v>50.04</v>
      </c>
      <c r="H21" s="184">
        <v>50.04</v>
      </c>
      <c r="I21" s="185">
        <v>0</v>
      </c>
      <c r="J21" s="216"/>
      <c r="K21" s="187">
        <v>50.04</v>
      </c>
      <c r="L21" s="188">
        <v>49.58</v>
      </c>
      <c r="M21" s="211"/>
      <c r="N21" s="190"/>
      <c r="O21" s="196"/>
      <c r="P21" s="175">
        <f t="shared" si="7"/>
        <v>60.047999999999995</v>
      </c>
      <c r="Q21" s="176">
        <f t="shared" si="3"/>
        <v>1764995.7468902671</v>
      </c>
      <c r="R21" s="176">
        <f t="shared" si="4"/>
        <v>845808.2021139909</v>
      </c>
      <c r="S21" s="176">
        <f t="shared" si="5"/>
        <v>211452.05099574217</v>
      </c>
      <c r="T21" s="415">
        <f t="shared" si="1"/>
        <v>2822256</v>
      </c>
    </row>
    <row r="22" spans="1:20" ht="51">
      <c r="A22" s="177">
        <v>4</v>
      </c>
      <c r="B22" s="180">
        <v>4</v>
      </c>
      <c r="C22" s="231" t="s">
        <v>480</v>
      </c>
      <c r="D22" s="180">
        <v>4</v>
      </c>
      <c r="E22" s="232"/>
      <c r="F22" s="233">
        <v>3</v>
      </c>
      <c r="G22" s="234">
        <v>49.5</v>
      </c>
      <c r="H22" s="184">
        <v>0</v>
      </c>
      <c r="I22" s="185">
        <v>49.5</v>
      </c>
      <c r="J22" s="235" t="s">
        <v>481</v>
      </c>
      <c r="K22" s="187">
        <v>49.5</v>
      </c>
      <c r="L22" s="188">
        <v>49.5</v>
      </c>
      <c r="M22" s="196" t="s">
        <v>482</v>
      </c>
      <c r="N22" s="214" t="s">
        <v>483</v>
      </c>
      <c r="O22" s="196"/>
      <c r="P22" s="175">
        <f t="shared" si="7"/>
        <v>59.4</v>
      </c>
      <c r="Q22" s="176">
        <f t="shared" si="3"/>
        <v>1745949.0301972069</v>
      </c>
      <c r="R22" s="176">
        <f t="shared" si="4"/>
        <v>836680.775472473</v>
      </c>
      <c r="S22" s="176">
        <f t="shared" si="5"/>
        <v>209170.19433032049</v>
      </c>
      <c r="T22" s="415">
        <f t="shared" si="1"/>
        <v>2791800.0000000005</v>
      </c>
    </row>
    <row r="23" spans="1:20">
      <c r="A23" s="177"/>
      <c r="B23" s="180"/>
      <c r="C23" s="219" t="s">
        <v>484</v>
      </c>
      <c r="D23" s="220">
        <f>SUM(D24:D32)</f>
        <v>30</v>
      </c>
      <c r="E23" s="220"/>
      <c r="F23" s="220">
        <f t="shared" ref="F23:K23" si="8">SUM(F24:F32)</f>
        <v>20</v>
      </c>
      <c r="G23" s="221">
        <f t="shared" si="8"/>
        <v>416.04000000000008</v>
      </c>
      <c r="H23" s="221">
        <f t="shared" si="8"/>
        <v>263.39000000000004</v>
      </c>
      <c r="I23" s="222">
        <f t="shared" si="8"/>
        <v>152.65</v>
      </c>
      <c r="J23" s="220">
        <f t="shared" si="8"/>
        <v>0</v>
      </c>
      <c r="K23" s="220">
        <f t="shared" si="8"/>
        <v>416.04000000000008</v>
      </c>
      <c r="L23" s="188"/>
      <c r="M23" s="223"/>
      <c r="N23" s="224" t="s">
        <v>485</v>
      </c>
      <c r="O23" s="225"/>
      <c r="P23" s="175">
        <f>SUM(P24:P32)</f>
        <v>499.24799999999999</v>
      </c>
      <c r="Q23" s="176">
        <f t="shared" si="3"/>
        <v>14674437.061075676</v>
      </c>
      <c r="R23" s="176">
        <f t="shared" si="4"/>
        <v>7032175.1480316697</v>
      </c>
      <c r="S23" s="176">
        <f t="shared" si="5"/>
        <v>1758043.7908926574</v>
      </c>
      <c r="T23" s="415">
        <f t="shared" si="1"/>
        <v>23464656.000000004</v>
      </c>
    </row>
    <row r="24" spans="1:20">
      <c r="A24" s="177">
        <v>1</v>
      </c>
      <c r="B24" s="177">
        <v>1</v>
      </c>
      <c r="C24" s="179" t="s">
        <v>486</v>
      </c>
      <c r="D24" s="180">
        <v>2</v>
      </c>
      <c r="E24" s="181"/>
      <c r="F24" s="227">
        <v>2</v>
      </c>
      <c r="G24" s="228">
        <v>46.22</v>
      </c>
      <c r="H24" s="184">
        <v>46.22</v>
      </c>
      <c r="I24" s="185">
        <v>0</v>
      </c>
      <c r="J24" s="216"/>
      <c r="K24" s="187">
        <v>46.22</v>
      </c>
      <c r="L24" s="188">
        <v>46.22</v>
      </c>
      <c r="M24" s="189"/>
      <c r="N24" s="190" t="s">
        <v>487</v>
      </c>
      <c r="O24" s="196"/>
      <c r="P24" s="175">
        <f t="shared" si="7"/>
        <v>55.463999999999999</v>
      </c>
      <c r="Q24" s="176">
        <f t="shared" si="3"/>
        <v>1630257.8621356545</v>
      </c>
      <c r="R24" s="176">
        <f t="shared" si="4"/>
        <v>781240.10994621611</v>
      </c>
      <c r="S24" s="176">
        <f t="shared" si="5"/>
        <v>195310.02791812958</v>
      </c>
      <c r="T24" s="415">
        <f t="shared" si="1"/>
        <v>2606808.0000000005</v>
      </c>
    </row>
    <row r="25" spans="1:20">
      <c r="A25" s="177">
        <v>2</v>
      </c>
      <c r="B25" s="177">
        <v>2</v>
      </c>
      <c r="C25" s="179" t="s">
        <v>488</v>
      </c>
      <c r="D25" s="180">
        <v>4</v>
      </c>
      <c r="E25" s="181"/>
      <c r="F25" s="227">
        <v>3</v>
      </c>
      <c r="G25" s="228">
        <v>56.99</v>
      </c>
      <c r="H25" s="184">
        <v>56.99</v>
      </c>
      <c r="I25" s="185">
        <v>0</v>
      </c>
      <c r="J25" s="216"/>
      <c r="K25" s="187">
        <v>56.99</v>
      </c>
      <c r="L25" s="188">
        <v>56.99</v>
      </c>
      <c r="M25" s="211"/>
      <c r="N25" s="190" t="s">
        <v>489</v>
      </c>
      <c r="O25" s="196"/>
      <c r="P25" s="175">
        <f t="shared" si="7"/>
        <v>68.388000000000005</v>
      </c>
      <c r="Q25" s="176">
        <f t="shared" si="3"/>
        <v>2010134.0450694712</v>
      </c>
      <c r="R25" s="176">
        <f t="shared" si="4"/>
        <v>963281.56351871183</v>
      </c>
      <c r="S25" s="176">
        <f t="shared" si="5"/>
        <v>240820.39141181755</v>
      </c>
      <c r="T25" s="415">
        <f t="shared" si="1"/>
        <v>3214236.0000000009</v>
      </c>
    </row>
    <row r="26" spans="1:20" ht="38.25">
      <c r="A26" s="177">
        <v>3</v>
      </c>
      <c r="B26" s="177">
        <v>3</v>
      </c>
      <c r="C26" s="179" t="s">
        <v>490</v>
      </c>
      <c r="D26" s="180">
        <v>2</v>
      </c>
      <c r="E26" s="181"/>
      <c r="F26" s="227">
        <v>2</v>
      </c>
      <c r="G26" s="228">
        <v>46.56</v>
      </c>
      <c r="H26" s="184">
        <v>0</v>
      </c>
      <c r="I26" s="185">
        <v>46.56</v>
      </c>
      <c r="J26" s="216"/>
      <c r="K26" s="187">
        <v>46.56</v>
      </c>
      <c r="L26" s="236">
        <v>46.6</v>
      </c>
      <c r="M26" s="211"/>
      <c r="N26" s="190" t="s">
        <v>491</v>
      </c>
      <c r="O26" s="191"/>
      <c r="P26" s="175">
        <f t="shared" si="7"/>
        <v>55.872</v>
      </c>
      <c r="Q26" s="176">
        <f t="shared" si="3"/>
        <v>1642250.2393127668</v>
      </c>
      <c r="R26" s="176">
        <f>R25/P25*P26</f>
        <v>786987.00820198667</v>
      </c>
      <c r="S26" s="176">
        <f t="shared" si="5"/>
        <v>196746.75248524695</v>
      </c>
      <c r="T26" s="415">
        <f t="shared" si="1"/>
        <v>2625984.0000000005</v>
      </c>
    </row>
    <row r="27" spans="1:20">
      <c r="A27" s="177">
        <v>4</v>
      </c>
      <c r="B27" s="177">
        <v>4</v>
      </c>
      <c r="C27" s="179" t="s">
        <v>492</v>
      </c>
      <c r="D27" s="180">
        <v>6</v>
      </c>
      <c r="E27" s="181" t="s">
        <v>449</v>
      </c>
      <c r="F27" s="237">
        <v>2</v>
      </c>
      <c r="G27" s="183">
        <v>34.700000000000003</v>
      </c>
      <c r="H27" s="184">
        <v>34.700000000000003</v>
      </c>
      <c r="I27" s="185">
        <v>0</v>
      </c>
      <c r="J27" s="216"/>
      <c r="K27" s="187">
        <v>34.700000000000003</v>
      </c>
      <c r="L27" s="188">
        <v>34.700000000000003</v>
      </c>
      <c r="M27" s="211"/>
      <c r="N27" s="190" t="s">
        <v>493</v>
      </c>
      <c r="O27" s="196"/>
      <c r="P27" s="175">
        <f t="shared" si="7"/>
        <v>41.64</v>
      </c>
      <c r="Q27" s="176">
        <f t="shared" si="3"/>
        <v>1223927.906017032</v>
      </c>
      <c r="R27" s="176">
        <f t="shared" si="4"/>
        <v>586521.67492716794</v>
      </c>
      <c r="S27" s="176">
        <f t="shared" si="5"/>
        <v>146630.41905580045</v>
      </c>
      <c r="T27" s="415">
        <f t="shared" si="1"/>
        <v>1957080.0000000005</v>
      </c>
    </row>
    <row r="28" spans="1:20">
      <c r="A28" s="177">
        <v>5</v>
      </c>
      <c r="B28" s="177">
        <v>4</v>
      </c>
      <c r="C28" s="179" t="s">
        <v>494</v>
      </c>
      <c r="D28" s="180">
        <v>4</v>
      </c>
      <c r="E28" s="181" t="s">
        <v>449</v>
      </c>
      <c r="F28" s="182">
        <v>1</v>
      </c>
      <c r="G28" s="183">
        <v>22.32</v>
      </c>
      <c r="H28" s="184">
        <v>22.32</v>
      </c>
      <c r="I28" s="185">
        <v>0</v>
      </c>
      <c r="J28" s="216"/>
      <c r="K28" s="187">
        <v>22.32</v>
      </c>
      <c r="L28" s="188">
        <v>22.2</v>
      </c>
      <c r="M28" s="211"/>
      <c r="N28" s="190" t="s">
        <v>495</v>
      </c>
      <c r="O28" s="196"/>
      <c r="P28" s="175">
        <f t="shared" si="7"/>
        <v>26.783999999999999</v>
      </c>
      <c r="Q28" s="176">
        <f t="shared" si="3"/>
        <v>787264.28997983143</v>
      </c>
      <c r="R28" s="176">
        <f t="shared" si="4"/>
        <v>377266.96784940601</v>
      </c>
      <c r="S28" s="176">
        <f t="shared" si="5"/>
        <v>94316.742170762707</v>
      </c>
      <c r="T28" s="415">
        <f t="shared" si="1"/>
        <v>1258848.0000000002</v>
      </c>
    </row>
    <row r="29" spans="1:20">
      <c r="A29" s="177">
        <v>6</v>
      </c>
      <c r="B29" s="177">
        <v>5</v>
      </c>
      <c r="C29" s="179" t="s">
        <v>496</v>
      </c>
      <c r="D29" s="180">
        <v>3</v>
      </c>
      <c r="E29" s="181"/>
      <c r="F29" s="227">
        <v>3</v>
      </c>
      <c r="G29" s="228">
        <v>56.67</v>
      </c>
      <c r="H29" s="184">
        <v>56.67</v>
      </c>
      <c r="I29" s="185">
        <v>0</v>
      </c>
      <c r="J29" s="216"/>
      <c r="K29" s="187">
        <v>56.67</v>
      </c>
      <c r="L29" s="188">
        <v>56.67</v>
      </c>
      <c r="M29" s="211"/>
      <c r="N29" s="190" t="s">
        <v>497</v>
      </c>
      <c r="O29" s="196"/>
      <c r="P29" s="175">
        <f t="shared" si="7"/>
        <v>68.004000000000005</v>
      </c>
      <c r="Q29" s="176">
        <f t="shared" si="3"/>
        <v>1998847.1018439541</v>
      </c>
      <c r="R29" s="176">
        <f t="shared" si="4"/>
        <v>957872.71810151625</v>
      </c>
      <c r="S29" s="176">
        <f t="shared" si="5"/>
        <v>239468.18005453062</v>
      </c>
      <c r="T29" s="415">
        <f t="shared" si="1"/>
        <v>3196188.0000000009</v>
      </c>
    </row>
    <row r="30" spans="1:20">
      <c r="A30" s="177">
        <v>7</v>
      </c>
      <c r="B30" s="177">
        <v>6</v>
      </c>
      <c r="C30" s="179" t="s">
        <v>498</v>
      </c>
      <c r="D30" s="180">
        <v>3</v>
      </c>
      <c r="E30" s="181"/>
      <c r="F30" s="238">
        <v>2</v>
      </c>
      <c r="G30" s="228">
        <v>46.05</v>
      </c>
      <c r="H30" s="184">
        <v>0</v>
      </c>
      <c r="I30" s="185">
        <v>46.05</v>
      </c>
      <c r="J30" s="187"/>
      <c r="K30" s="187">
        <f>G30</f>
        <v>46.05</v>
      </c>
      <c r="L30" s="236">
        <v>46.1</v>
      </c>
      <c r="M30" s="211"/>
      <c r="N30" s="190" t="s">
        <v>499</v>
      </c>
      <c r="O30" s="191"/>
      <c r="P30" s="175">
        <f t="shared" si="7"/>
        <v>55.26</v>
      </c>
      <c r="Q30" s="176">
        <f t="shared" si="3"/>
        <v>1624261.6735470984</v>
      </c>
      <c r="R30" s="176">
        <f t="shared" si="4"/>
        <v>778366.66081833094</v>
      </c>
      <c r="S30" s="176">
        <f t="shared" si="5"/>
        <v>194591.66563457091</v>
      </c>
      <c r="T30" s="415">
        <f t="shared" si="1"/>
        <v>2597220.0000000005</v>
      </c>
    </row>
    <row r="31" spans="1:20">
      <c r="A31" s="177">
        <v>8</v>
      </c>
      <c r="B31" s="177">
        <v>8</v>
      </c>
      <c r="C31" s="179" t="s">
        <v>500</v>
      </c>
      <c r="D31" s="180">
        <v>4</v>
      </c>
      <c r="E31" s="181"/>
      <c r="F31" s="227">
        <v>3</v>
      </c>
      <c r="G31" s="228">
        <v>60.04</v>
      </c>
      <c r="H31" s="184">
        <v>0</v>
      </c>
      <c r="I31" s="185">
        <v>60.04</v>
      </c>
      <c r="J31" s="216"/>
      <c r="K31" s="187">
        <v>60.04</v>
      </c>
      <c r="L31" s="188">
        <v>60.04</v>
      </c>
      <c r="M31" s="189"/>
      <c r="N31" s="190" t="s">
        <v>501</v>
      </c>
      <c r="O31" s="191"/>
      <c r="P31" s="175">
        <f t="shared" si="7"/>
        <v>72.048000000000002</v>
      </c>
      <c r="Q31" s="176">
        <f t="shared" si="3"/>
        <v>2117712.7226876831</v>
      </c>
      <c r="R31" s="176">
        <f t="shared" si="4"/>
        <v>1014834.6214013593</v>
      </c>
      <c r="S31" s="176">
        <f t="shared" si="5"/>
        <v>253708.65591095848</v>
      </c>
      <c r="T31" s="415">
        <f t="shared" si="1"/>
        <v>3386256.0000000009</v>
      </c>
    </row>
    <row r="32" spans="1:20">
      <c r="A32" s="177">
        <v>9</v>
      </c>
      <c r="B32" s="177">
        <v>9</v>
      </c>
      <c r="C32" s="179" t="s">
        <v>502</v>
      </c>
      <c r="D32" s="180">
        <v>2</v>
      </c>
      <c r="E32" s="181"/>
      <c r="F32" s="237">
        <v>2</v>
      </c>
      <c r="G32" s="228">
        <v>46.49</v>
      </c>
      <c r="H32" s="184">
        <v>46.49</v>
      </c>
      <c r="I32" s="185">
        <v>0</v>
      </c>
      <c r="J32" s="216"/>
      <c r="K32" s="187">
        <v>46.49</v>
      </c>
      <c r="L32" s="188">
        <v>46.49</v>
      </c>
      <c r="M32" s="211"/>
      <c r="N32" s="190" t="s">
        <v>503</v>
      </c>
      <c r="O32" s="196"/>
      <c r="P32" s="175">
        <f t="shared" si="7"/>
        <v>55.788000000000004</v>
      </c>
      <c r="Q32" s="176">
        <f t="shared" si="3"/>
        <v>1639781.2204821853</v>
      </c>
      <c r="R32" s="176">
        <f t="shared" si="4"/>
        <v>785803.82326697523</v>
      </c>
      <c r="S32" s="176">
        <f t="shared" si="5"/>
        <v>196450.95625084045</v>
      </c>
      <c r="T32" s="415">
        <f t="shared" si="1"/>
        <v>2622036.0000000009</v>
      </c>
    </row>
    <row r="33" spans="1:20">
      <c r="A33" s="177"/>
      <c r="B33" s="180"/>
      <c r="C33" s="219" t="s">
        <v>504</v>
      </c>
      <c r="D33" s="220">
        <f>SUM(D34:D40)</f>
        <v>14</v>
      </c>
      <c r="E33" s="220"/>
      <c r="F33" s="220">
        <f t="shared" ref="F33:K33" si="9">SUM(F34:F40)</f>
        <v>12</v>
      </c>
      <c r="G33" s="221">
        <f t="shared" si="9"/>
        <v>217.04000000000002</v>
      </c>
      <c r="H33" s="221">
        <f t="shared" si="9"/>
        <v>54.1</v>
      </c>
      <c r="I33" s="222">
        <f t="shared" si="9"/>
        <v>162.94</v>
      </c>
      <c r="J33" s="220">
        <f t="shared" si="9"/>
        <v>45.35</v>
      </c>
      <c r="K33" s="220">
        <f t="shared" si="9"/>
        <v>171.68999999999997</v>
      </c>
      <c r="L33" s="188"/>
      <c r="M33" s="223"/>
      <c r="N33" s="224" t="s">
        <v>505</v>
      </c>
      <c r="O33" s="225"/>
      <c r="P33" s="175">
        <f>SUM(P34:P40)</f>
        <v>260.44800000000004</v>
      </c>
      <c r="Q33" s="176">
        <f t="shared" si="3"/>
        <v>7655369.24270711</v>
      </c>
      <c r="R33" s="176">
        <f t="shared" si="4"/>
        <v>3668549.404213042</v>
      </c>
      <c r="S33" s="176">
        <f t="shared" si="5"/>
        <v>917137.35307985405</v>
      </c>
      <c r="T33" s="415">
        <f t="shared" si="1"/>
        <v>12241056.000000006</v>
      </c>
    </row>
    <row r="34" spans="1:20">
      <c r="A34" s="177">
        <v>1</v>
      </c>
      <c r="B34" s="180">
        <v>1</v>
      </c>
      <c r="C34" s="192" t="s">
        <v>506</v>
      </c>
      <c r="D34" s="180">
        <v>1</v>
      </c>
      <c r="E34" s="182"/>
      <c r="F34" s="217">
        <v>1</v>
      </c>
      <c r="G34" s="183">
        <v>13.72</v>
      </c>
      <c r="H34" s="184">
        <v>0</v>
      </c>
      <c r="I34" s="185">
        <v>13.72</v>
      </c>
      <c r="J34" s="239">
        <v>13.72</v>
      </c>
      <c r="K34" s="187"/>
      <c r="L34" s="188">
        <f>54.82*1/4</f>
        <v>13.705</v>
      </c>
      <c r="M34" s="189"/>
      <c r="N34" s="190" t="s">
        <v>507</v>
      </c>
      <c r="O34" s="196"/>
      <c r="P34" s="175">
        <f>G34*1.2</f>
        <v>16.463999999999999</v>
      </c>
      <c r="Q34" s="176">
        <f t="shared" si="3"/>
        <v>483927.69079405419</v>
      </c>
      <c r="R34" s="176">
        <f t="shared" si="4"/>
        <v>231904.24726226929</v>
      </c>
      <c r="S34" s="176">
        <f t="shared" si="5"/>
        <v>57976.061943676716</v>
      </c>
      <c r="T34" s="415">
        <f t="shared" si="1"/>
        <v>773808.00000000012</v>
      </c>
    </row>
    <row r="35" spans="1:20" ht="38.25">
      <c r="A35" s="177">
        <v>2</v>
      </c>
      <c r="B35" s="180">
        <v>1</v>
      </c>
      <c r="C35" s="179" t="s">
        <v>508</v>
      </c>
      <c r="D35" s="180">
        <v>4</v>
      </c>
      <c r="E35" s="181"/>
      <c r="F35" s="237">
        <v>2</v>
      </c>
      <c r="G35" s="228">
        <v>41.16</v>
      </c>
      <c r="H35" s="184">
        <v>0</v>
      </c>
      <c r="I35" s="185">
        <v>41.16</v>
      </c>
      <c r="J35" s="216"/>
      <c r="K35" s="187">
        <v>41.16</v>
      </c>
      <c r="L35" s="188">
        <f>54.88*3/4</f>
        <v>41.160000000000004</v>
      </c>
      <c r="M35" s="189"/>
      <c r="N35" s="190" t="s">
        <v>509</v>
      </c>
      <c r="O35" s="191"/>
      <c r="P35" s="175">
        <f t="shared" si="7"/>
        <v>49.391999999999996</v>
      </c>
      <c r="Q35" s="176">
        <f t="shared" si="3"/>
        <v>1451783.0723821626</v>
      </c>
      <c r="R35" s="176">
        <f t="shared" si="4"/>
        <v>695712.74178680789</v>
      </c>
      <c r="S35" s="176">
        <f t="shared" si="5"/>
        <v>173928.18583103016</v>
      </c>
      <c r="T35" s="415">
        <f t="shared" si="1"/>
        <v>2321424.0000000009</v>
      </c>
    </row>
    <row r="36" spans="1:20">
      <c r="A36" s="177">
        <v>3</v>
      </c>
      <c r="B36" s="180">
        <v>2</v>
      </c>
      <c r="C36" s="179" t="s">
        <v>510</v>
      </c>
      <c r="D36" s="180">
        <v>2</v>
      </c>
      <c r="E36" s="181"/>
      <c r="F36" s="227">
        <v>3</v>
      </c>
      <c r="G36" s="228">
        <v>54.1</v>
      </c>
      <c r="H36" s="184">
        <v>54.1</v>
      </c>
      <c r="I36" s="185">
        <v>0</v>
      </c>
      <c r="J36" s="216"/>
      <c r="K36" s="187">
        <v>54.1</v>
      </c>
      <c r="L36" s="195">
        <v>41.7</v>
      </c>
      <c r="M36" s="211" t="s">
        <v>511</v>
      </c>
      <c r="N36" s="190" t="s">
        <v>512</v>
      </c>
      <c r="O36" s="196"/>
      <c r="P36" s="175">
        <f t="shared" si="7"/>
        <v>64.92</v>
      </c>
      <c r="Q36" s="176">
        <f t="shared" si="3"/>
        <v>1908198.8390640186</v>
      </c>
      <c r="R36" s="176">
        <f t="shared" si="4"/>
        <v>914432.92834466253</v>
      </c>
      <c r="S36" s="176">
        <f t="shared" si="5"/>
        <v>228608.23259132006</v>
      </c>
      <c r="T36" s="415">
        <f t="shared" si="1"/>
        <v>3051240.0000000009</v>
      </c>
    </row>
    <row r="37" spans="1:20" ht="25.5">
      <c r="A37" s="177">
        <v>4</v>
      </c>
      <c r="B37" s="180">
        <v>3</v>
      </c>
      <c r="C37" s="192" t="s">
        <v>513</v>
      </c>
      <c r="D37" s="180">
        <v>2</v>
      </c>
      <c r="E37" s="232"/>
      <c r="F37" s="233">
        <v>3</v>
      </c>
      <c r="G37" s="234">
        <v>54.45</v>
      </c>
      <c r="H37" s="184">
        <v>0</v>
      </c>
      <c r="I37" s="185">
        <v>54.45</v>
      </c>
      <c r="J37" s="216"/>
      <c r="K37" s="187">
        <v>54.45</v>
      </c>
      <c r="L37" s="188">
        <f>54.45</f>
        <v>54.45</v>
      </c>
      <c r="M37" s="211"/>
      <c r="N37" s="190" t="s">
        <v>514</v>
      </c>
      <c r="O37" s="191"/>
      <c r="P37" s="175">
        <f t="shared" si="7"/>
        <v>65.34</v>
      </c>
      <c r="Q37" s="176">
        <f t="shared" si="3"/>
        <v>1920543.9332169283</v>
      </c>
      <c r="R37" s="176">
        <f t="shared" si="4"/>
        <v>920348.85301972041</v>
      </c>
      <c r="S37" s="176">
        <f t="shared" si="5"/>
        <v>230087.21376335263</v>
      </c>
      <c r="T37" s="415">
        <f t="shared" si="1"/>
        <v>3070980.0000000009</v>
      </c>
    </row>
    <row r="38" spans="1:20">
      <c r="A38" s="177">
        <v>5</v>
      </c>
      <c r="B38" s="180">
        <v>4</v>
      </c>
      <c r="C38" s="192" t="s">
        <v>515</v>
      </c>
      <c r="D38" s="180">
        <v>1</v>
      </c>
      <c r="E38" s="182"/>
      <c r="F38" s="217">
        <v>1</v>
      </c>
      <c r="G38" s="183">
        <v>12.33</v>
      </c>
      <c r="H38" s="184">
        <v>0</v>
      </c>
      <c r="I38" s="185">
        <v>12.33</v>
      </c>
      <c r="J38" s="218">
        <f>G38</f>
        <v>12.33</v>
      </c>
      <c r="K38" s="187"/>
      <c r="L38" s="188">
        <f>53.61*23/100</f>
        <v>12.330299999999999</v>
      </c>
      <c r="M38" s="189"/>
      <c r="N38" s="214" t="s">
        <v>516</v>
      </c>
      <c r="O38" s="196"/>
      <c r="P38" s="175">
        <f t="shared" si="7"/>
        <v>14.795999999999999</v>
      </c>
      <c r="Q38" s="176">
        <f t="shared" si="3"/>
        <v>434900.03115821345</v>
      </c>
      <c r="R38" s="176">
        <f t="shared" si="4"/>
        <v>208409.5749813251</v>
      </c>
      <c r="S38" s="176">
        <f t="shared" si="5"/>
        <v>52102.393860461663</v>
      </c>
      <c r="T38" s="415">
        <f t="shared" si="1"/>
        <v>695412.00000000023</v>
      </c>
    </row>
    <row r="39" spans="1:20" ht="52.9" customHeight="1">
      <c r="A39" s="177">
        <v>6</v>
      </c>
      <c r="B39" s="180">
        <v>4</v>
      </c>
      <c r="C39" s="179" t="s">
        <v>517</v>
      </c>
      <c r="D39" s="180">
        <v>2</v>
      </c>
      <c r="E39" s="181" t="s">
        <v>449</v>
      </c>
      <c r="F39" s="182">
        <v>1</v>
      </c>
      <c r="G39" s="183">
        <v>21.98</v>
      </c>
      <c r="H39" s="184">
        <v>0</v>
      </c>
      <c r="I39" s="185">
        <v>21.98</v>
      </c>
      <c r="J39" s="216"/>
      <c r="K39" s="187">
        <v>21.98</v>
      </c>
      <c r="L39" s="188">
        <f>53.61*410/1000</f>
        <v>21.9801</v>
      </c>
      <c r="M39" s="189"/>
      <c r="N39" s="190" t="s">
        <v>518</v>
      </c>
      <c r="O39" s="191"/>
      <c r="P39" s="175">
        <f t="shared" si="7"/>
        <v>26.376000000000001</v>
      </c>
      <c r="Q39" s="176">
        <f t="shared" si="3"/>
        <v>775271.91280271963</v>
      </c>
      <c r="R39" s="176">
        <f t="shared" si="4"/>
        <v>371520.06959363556</v>
      </c>
      <c r="S39" s="176">
        <f t="shared" si="5"/>
        <v>92880.017603645378</v>
      </c>
      <c r="T39" s="415">
        <f t="shared" si="1"/>
        <v>1239672.0000000005</v>
      </c>
    </row>
    <row r="40" spans="1:20">
      <c r="A40" s="177">
        <v>7</v>
      </c>
      <c r="B40" s="180">
        <v>4</v>
      </c>
      <c r="C40" s="192" t="s">
        <v>519</v>
      </c>
      <c r="D40" s="180">
        <v>2</v>
      </c>
      <c r="E40" s="182"/>
      <c r="F40" s="217">
        <v>1</v>
      </c>
      <c r="G40" s="183">
        <v>19.3</v>
      </c>
      <c r="H40" s="184">
        <v>0</v>
      </c>
      <c r="I40" s="185">
        <v>19.3</v>
      </c>
      <c r="J40" s="213">
        <f>G40</f>
        <v>19.3</v>
      </c>
      <c r="K40" s="187"/>
      <c r="L40" s="188">
        <f>53.61*360/1000</f>
        <v>19.299599999999998</v>
      </c>
      <c r="M40" s="189"/>
      <c r="N40" s="190" t="s">
        <v>520</v>
      </c>
      <c r="O40" s="196"/>
      <c r="P40" s="175">
        <f t="shared" si="7"/>
        <v>23.16</v>
      </c>
      <c r="Q40" s="176">
        <f t="shared" si="3"/>
        <v>680743.76328901225</v>
      </c>
      <c r="R40" s="176">
        <f t="shared" si="4"/>
        <v>326220.98922462086</v>
      </c>
      <c r="S40" s="176">
        <f t="shared" si="5"/>
        <v>81555.247486367414</v>
      </c>
      <c r="T40" s="415">
        <f t="shared" si="1"/>
        <v>1088520.0000000005</v>
      </c>
    </row>
    <row r="41" spans="1:20">
      <c r="A41" s="177"/>
      <c r="B41" s="180"/>
      <c r="C41" s="219" t="s">
        <v>521</v>
      </c>
      <c r="D41" s="220">
        <f>SUM(D42:D47)</f>
        <v>21</v>
      </c>
      <c r="E41" s="220"/>
      <c r="F41" s="220">
        <f t="shared" ref="F41:K41" si="10">SUM(F42:F47)</f>
        <v>14</v>
      </c>
      <c r="G41" s="221">
        <f t="shared" si="10"/>
        <v>278.89999999999998</v>
      </c>
      <c r="H41" s="221">
        <f t="shared" si="10"/>
        <v>227.07000000000002</v>
      </c>
      <c r="I41" s="222">
        <f t="shared" si="10"/>
        <v>51.83</v>
      </c>
      <c r="J41" s="220">
        <f t="shared" si="10"/>
        <v>51.83</v>
      </c>
      <c r="K41" s="240">
        <f t="shared" si="10"/>
        <v>227.07000000000002</v>
      </c>
      <c r="L41" s="188"/>
      <c r="M41" s="223"/>
      <c r="N41" s="224"/>
      <c r="O41" s="225"/>
      <c r="P41" s="175">
        <f>SUM(P42:P47)</f>
        <v>334.67999999999995</v>
      </c>
      <c r="Q41" s="176">
        <f t="shared" si="3"/>
        <v>9837276.4549899213</v>
      </c>
      <c r="R41" s="176">
        <f t="shared" si="4"/>
        <v>4714146.8339247014</v>
      </c>
      <c r="S41" s="176">
        <f t="shared" si="5"/>
        <v>1178536.7110853817</v>
      </c>
      <c r="T41" s="415">
        <f t="shared" si="1"/>
        <v>15729960.000000004</v>
      </c>
    </row>
    <row r="42" spans="1:20">
      <c r="A42" s="177">
        <v>1</v>
      </c>
      <c r="B42" s="180">
        <v>1</v>
      </c>
      <c r="C42" s="179" t="s">
        <v>522</v>
      </c>
      <c r="D42" s="180">
        <v>5</v>
      </c>
      <c r="E42" s="181"/>
      <c r="F42" s="241">
        <v>4</v>
      </c>
      <c r="G42" s="242">
        <v>77.010000000000005</v>
      </c>
      <c r="H42" s="184">
        <v>77.010000000000005</v>
      </c>
      <c r="I42" s="185">
        <v>0</v>
      </c>
      <c r="J42" s="216"/>
      <c r="K42" s="187">
        <v>77.010000000000005</v>
      </c>
      <c r="L42" s="188">
        <v>77.010000000000005</v>
      </c>
      <c r="M42" s="211"/>
      <c r="N42" s="190" t="s">
        <v>523</v>
      </c>
      <c r="O42" s="196"/>
      <c r="P42" s="175">
        <f t="shared" si="7"/>
        <v>92.412000000000006</v>
      </c>
      <c r="Q42" s="176">
        <f t="shared" si="3"/>
        <v>2716273.4306158982</v>
      </c>
      <c r="R42" s="176">
        <f t="shared" si="4"/>
        <v>1301672.4549320233</v>
      </c>
      <c r="S42" s="176">
        <f t="shared" si="5"/>
        <v>325418.11445208057</v>
      </c>
      <c r="T42" s="415">
        <f t="shared" si="1"/>
        <v>4343364.0000000019</v>
      </c>
    </row>
    <row r="43" spans="1:20">
      <c r="A43" s="177">
        <v>2</v>
      </c>
      <c r="B43" s="180">
        <v>2</v>
      </c>
      <c r="C43" s="179" t="s">
        <v>524</v>
      </c>
      <c r="D43" s="180">
        <v>5</v>
      </c>
      <c r="E43" s="181"/>
      <c r="F43" s="237">
        <v>2</v>
      </c>
      <c r="G43" s="228">
        <v>40.58</v>
      </c>
      <c r="H43" s="184">
        <v>40.58</v>
      </c>
      <c r="I43" s="185">
        <v>0</v>
      </c>
      <c r="J43" s="216"/>
      <c r="K43" s="187">
        <v>40.58</v>
      </c>
      <c r="L43" s="195">
        <v>31.2</v>
      </c>
      <c r="M43" s="189"/>
      <c r="N43" s="190" t="s">
        <v>525</v>
      </c>
      <c r="O43" s="196"/>
      <c r="P43" s="175">
        <f t="shared" si="7"/>
        <v>48.695999999999998</v>
      </c>
      <c r="Q43" s="176">
        <f t="shared" si="3"/>
        <v>1431325.4877859128</v>
      </c>
      <c r="R43" s="176">
        <f t="shared" si="4"/>
        <v>685909.2094681405</v>
      </c>
      <c r="S43" s="176">
        <f t="shared" si="5"/>
        <v>171477.30274594764</v>
      </c>
      <c r="T43" s="415">
        <f t="shared" si="1"/>
        <v>2288712.0000000009</v>
      </c>
    </row>
    <row r="44" spans="1:20">
      <c r="A44" s="177">
        <v>3</v>
      </c>
      <c r="B44" s="180">
        <v>2</v>
      </c>
      <c r="C44" s="192" t="s">
        <v>526</v>
      </c>
      <c r="D44" s="180">
        <v>0</v>
      </c>
      <c r="E44" s="182"/>
      <c r="F44" s="217">
        <v>1</v>
      </c>
      <c r="G44" s="183">
        <v>22.23</v>
      </c>
      <c r="H44" s="184">
        <v>0</v>
      </c>
      <c r="I44" s="185">
        <v>22.23</v>
      </c>
      <c r="J44" s="213">
        <f>G44</f>
        <v>22.23</v>
      </c>
      <c r="K44" s="187"/>
      <c r="L44" s="188">
        <f>62.8*354/1000</f>
        <v>22.231200000000001</v>
      </c>
      <c r="M44" s="189"/>
      <c r="N44" s="214" t="s">
        <v>527</v>
      </c>
      <c r="O44" s="196"/>
      <c r="P44" s="175">
        <f t="shared" si="7"/>
        <v>26.675999999999998</v>
      </c>
      <c r="Q44" s="176">
        <f t="shared" si="3"/>
        <v>784089.83719765511</v>
      </c>
      <c r="R44" s="176">
        <f t="shared" si="4"/>
        <v>375745.73007581971</v>
      </c>
      <c r="S44" s="176">
        <f t="shared" si="5"/>
        <v>93936.432726525774</v>
      </c>
      <c r="T44" s="415">
        <f t="shared" si="1"/>
        <v>1253772.0000000005</v>
      </c>
    </row>
    <row r="45" spans="1:20">
      <c r="A45" s="177">
        <v>4</v>
      </c>
      <c r="B45" s="180">
        <v>3</v>
      </c>
      <c r="C45" s="179" t="s">
        <v>528</v>
      </c>
      <c r="D45" s="180">
        <v>4</v>
      </c>
      <c r="E45" s="181"/>
      <c r="F45" s="237">
        <v>2</v>
      </c>
      <c r="G45" s="228">
        <v>46.49</v>
      </c>
      <c r="H45" s="184">
        <v>46.49</v>
      </c>
      <c r="I45" s="185">
        <v>0</v>
      </c>
      <c r="J45" s="216"/>
      <c r="K45" s="187">
        <v>46.49</v>
      </c>
      <c r="L45" s="188">
        <v>38.08</v>
      </c>
      <c r="M45" s="211"/>
      <c r="N45" s="190" t="s">
        <v>523</v>
      </c>
      <c r="O45" s="196"/>
      <c r="P45" s="175">
        <f t="shared" si="7"/>
        <v>55.788000000000004</v>
      </c>
      <c r="Q45" s="176">
        <f t="shared" si="3"/>
        <v>1639781.2204821857</v>
      </c>
      <c r="R45" s="176">
        <f t="shared" si="4"/>
        <v>785803.82326697523</v>
      </c>
      <c r="S45" s="176">
        <f t="shared" si="5"/>
        <v>196450.95625084048</v>
      </c>
      <c r="T45" s="415">
        <f t="shared" si="1"/>
        <v>2622036.0000000014</v>
      </c>
    </row>
    <row r="46" spans="1:20" ht="25.15" customHeight="1">
      <c r="A46" s="177">
        <v>5</v>
      </c>
      <c r="B46" s="180">
        <v>3</v>
      </c>
      <c r="C46" s="192" t="s">
        <v>529</v>
      </c>
      <c r="D46" s="180">
        <v>2</v>
      </c>
      <c r="E46" s="182"/>
      <c r="F46" s="217">
        <v>2</v>
      </c>
      <c r="G46" s="183">
        <v>29.6</v>
      </c>
      <c r="H46" s="184">
        <v>0</v>
      </c>
      <c r="I46" s="185">
        <v>29.6</v>
      </c>
      <c r="J46" s="213">
        <f>G46</f>
        <v>29.6</v>
      </c>
      <c r="K46" s="187"/>
      <c r="L46" s="188">
        <f>76.09*389/1000</f>
        <v>29.599010000000003</v>
      </c>
      <c r="M46" s="211"/>
      <c r="N46" s="190" t="s">
        <v>530</v>
      </c>
      <c r="O46" s="196"/>
      <c r="P46" s="175">
        <f t="shared" si="7"/>
        <v>35.520000000000003</v>
      </c>
      <c r="Q46" s="176">
        <f t="shared" si="3"/>
        <v>1044042.2483603506</v>
      </c>
      <c r="R46" s="176">
        <f t="shared" si="4"/>
        <v>500318.20109061024</v>
      </c>
      <c r="S46" s="176">
        <f t="shared" si="5"/>
        <v>125079.55054904018</v>
      </c>
      <c r="T46" s="415">
        <f t="shared" si="1"/>
        <v>1669440.0000000009</v>
      </c>
    </row>
    <row r="47" spans="1:20">
      <c r="A47" s="177">
        <v>6</v>
      </c>
      <c r="B47" s="180">
        <v>4</v>
      </c>
      <c r="C47" s="179" t="s">
        <v>531</v>
      </c>
      <c r="D47" s="180">
        <v>5</v>
      </c>
      <c r="E47" s="181"/>
      <c r="F47" s="227">
        <v>3</v>
      </c>
      <c r="G47" s="228">
        <v>62.99</v>
      </c>
      <c r="H47" s="184">
        <v>62.99</v>
      </c>
      <c r="I47" s="185">
        <v>0</v>
      </c>
      <c r="J47" s="216"/>
      <c r="K47" s="187">
        <v>62.99</v>
      </c>
      <c r="L47" s="188">
        <v>62.99</v>
      </c>
      <c r="M47" s="211"/>
      <c r="N47" s="190"/>
      <c r="O47" s="196"/>
      <c r="P47" s="175">
        <f t="shared" si="7"/>
        <v>75.587999999999994</v>
      </c>
      <c r="Q47" s="176">
        <f>Q46/P46*P47</f>
        <v>2221764.2305479213</v>
      </c>
      <c r="R47" s="176">
        <f t="shared" si="4"/>
        <v>1064697.4150911327</v>
      </c>
      <c r="S47" s="176">
        <f t="shared" si="5"/>
        <v>266174.35436094727</v>
      </c>
      <c r="T47" s="415">
        <f t="shared" si="1"/>
        <v>3552636.0000000014</v>
      </c>
    </row>
    <row r="48" spans="1:20">
      <c r="A48" s="177">
        <v>36</v>
      </c>
      <c r="B48" s="180"/>
      <c r="C48" s="179" t="s">
        <v>532</v>
      </c>
      <c r="D48" s="180">
        <f>D41+D33+D23+D18+D7</f>
        <v>109</v>
      </c>
      <c r="E48" s="180"/>
      <c r="F48" s="180">
        <f t="shared" ref="F48:K48" si="11">F41+F33+F23+F18+F7</f>
        <v>70</v>
      </c>
      <c r="G48" s="184">
        <f t="shared" si="11"/>
        <v>1379.05</v>
      </c>
      <c r="H48" s="184">
        <f t="shared" si="11"/>
        <v>661.99</v>
      </c>
      <c r="I48" s="243">
        <f t="shared" si="11"/>
        <v>717.06</v>
      </c>
      <c r="J48" s="187">
        <f t="shared" si="11"/>
        <v>215.94</v>
      </c>
      <c r="K48" s="187">
        <f t="shared" si="11"/>
        <v>1212.9000000000001</v>
      </c>
      <c r="L48" s="188"/>
      <c r="M48" s="189"/>
      <c r="N48" s="190"/>
      <c r="O48" s="196"/>
      <c r="P48" s="175">
        <f t="shared" si="7"/>
        <v>1654.86</v>
      </c>
      <c r="Q48" s="176">
        <f t="shared" ref="Q48:Q61" si="12">Q47/P47*P48</f>
        <v>48641434.547342613</v>
      </c>
      <c r="R48" s="176">
        <f t="shared" si="4"/>
        <v>23309588.351824522</v>
      </c>
      <c r="S48" s="176">
        <f t="shared" si="5"/>
        <v>5827397.1008328991</v>
      </c>
      <c r="T48" s="415">
        <f t="shared" si="1"/>
        <v>77778420.00000003</v>
      </c>
    </row>
    <row r="49" spans="1:20">
      <c r="A49" s="177"/>
      <c r="B49" s="180"/>
      <c r="C49" s="219" t="s">
        <v>533</v>
      </c>
      <c r="D49" s="220">
        <f>SUM(D50:D52)</f>
        <v>6</v>
      </c>
      <c r="E49" s="220"/>
      <c r="F49" s="220">
        <f>SUM(F50:F52)</f>
        <v>4</v>
      </c>
      <c r="G49" s="221">
        <f>SUM(G50:G52)</f>
        <v>76.510000000000005</v>
      </c>
      <c r="H49" s="221">
        <f>SUM(H50:H52)</f>
        <v>59.8</v>
      </c>
      <c r="I49" s="222">
        <f>SUM(I50:I52)</f>
        <v>16.71</v>
      </c>
      <c r="J49" s="220">
        <f>SUM(J50:J52)</f>
        <v>16.71</v>
      </c>
      <c r="K49" s="220">
        <f>G49</f>
        <v>76.510000000000005</v>
      </c>
      <c r="L49" s="188"/>
      <c r="M49" s="223"/>
      <c r="N49" s="224" t="s">
        <v>534</v>
      </c>
      <c r="O49" s="225"/>
      <c r="P49" s="175">
        <f>SUM(P50:P52)</f>
        <v>91.811999999999998</v>
      </c>
      <c r="Q49" s="176">
        <f t="shared" si="12"/>
        <v>2698637.5818260275</v>
      </c>
      <c r="R49" s="176">
        <f t="shared" si="4"/>
        <v>1293221.1339676545</v>
      </c>
      <c r="S49" s="176">
        <f t="shared" si="5"/>
        <v>323305.28420631966</v>
      </c>
      <c r="T49" s="415">
        <f t="shared" si="1"/>
        <v>4315164.0000000019</v>
      </c>
    </row>
    <row r="50" spans="1:20">
      <c r="A50" s="177">
        <v>1</v>
      </c>
      <c r="B50" s="180">
        <v>1</v>
      </c>
      <c r="C50" s="179" t="s">
        <v>535</v>
      </c>
      <c r="D50" s="180">
        <v>4</v>
      </c>
      <c r="E50" s="181"/>
      <c r="F50" s="244">
        <v>2</v>
      </c>
      <c r="G50" s="228">
        <f>H50+I50</f>
        <v>34.1</v>
      </c>
      <c r="H50" s="184">
        <v>34.1</v>
      </c>
      <c r="I50" s="185">
        <v>0</v>
      </c>
      <c r="J50" s="216"/>
      <c r="K50" s="180">
        <f t="shared" ref="K50:K58" si="13">G50</f>
        <v>34.1</v>
      </c>
      <c r="L50" s="236">
        <v>34.200000000000003</v>
      </c>
      <c r="M50" s="211"/>
      <c r="N50" s="190" t="s">
        <v>536</v>
      </c>
      <c r="O50" s="196"/>
      <c r="P50" s="175">
        <f t="shared" si="7"/>
        <v>40.92</v>
      </c>
      <c r="Q50" s="176">
        <f t="shared" si="12"/>
        <v>1202764.8874691876</v>
      </c>
      <c r="R50" s="176">
        <f t="shared" si="4"/>
        <v>576380.08976992581</v>
      </c>
      <c r="S50" s="176">
        <f t="shared" si="5"/>
        <v>144095.02276088748</v>
      </c>
      <c r="T50" s="415">
        <f t="shared" si="1"/>
        <v>1923240.0000000007</v>
      </c>
    </row>
    <row r="51" spans="1:20">
      <c r="A51" s="177">
        <v>2</v>
      </c>
      <c r="B51" s="180">
        <v>2</v>
      </c>
      <c r="C51" s="192" t="s">
        <v>537</v>
      </c>
      <c r="D51" s="180">
        <v>0</v>
      </c>
      <c r="E51" s="182"/>
      <c r="F51" s="217">
        <v>1</v>
      </c>
      <c r="G51" s="183">
        <f>H51+I51</f>
        <v>16.71</v>
      </c>
      <c r="H51" s="184">
        <v>0</v>
      </c>
      <c r="I51" s="245">
        <v>16.71</v>
      </c>
      <c r="J51" s="239">
        <f>G51</f>
        <v>16.71</v>
      </c>
      <c r="K51" s="180"/>
      <c r="L51" s="236">
        <v>16.5</v>
      </c>
      <c r="M51" s="211"/>
      <c r="N51" s="214" t="s">
        <v>538</v>
      </c>
      <c r="O51" s="196"/>
      <c r="P51" s="175">
        <f t="shared" si="7"/>
        <v>20.052</v>
      </c>
      <c r="Q51" s="176">
        <f t="shared" si="12"/>
        <v>589390.06655748165</v>
      </c>
      <c r="R51" s="176">
        <f t="shared" si="4"/>
        <v>282443.14662919234</v>
      </c>
      <c r="S51" s="176">
        <f t="shared" si="5"/>
        <v>70610.786813326384</v>
      </c>
      <c r="T51" s="415">
        <f t="shared" si="1"/>
        <v>942444.00000000047</v>
      </c>
    </row>
    <row r="52" spans="1:20">
      <c r="A52" s="177">
        <v>3</v>
      </c>
      <c r="B52" s="180">
        <v>3</v>
      </c>
      <c r="C52" s="179" t="s">
        <v>539</v>
      </c>
      <c r="D52" s="180">
        <v>2</v>
      </c>
      <c r="E52" s="181" t="s">
        <v>449</v>
      </c>
      <c r="F52" s="182">
        <v>1</v>
      </c>
      <c r="G52" s="183">
        <f>H52+I52</f>
        <v>25.7</v>
      </c>
      <c r="H52" s="184">
        <v>25.7</v>
      </c>
      <c r="I52" s="185">
        <v>0</v>
      </c>
      <c r="J52" s="216"/>
      <c r="K52" s="180">
        <f t="shared" si="13"/>
        <v>25.7</v>
      </c>
      <c r="L52" s="236">
        <v>25.7</v>
      </c>
      <c r="M52" s="211"/>
      <c r="N52" s="190" t="s">
        <v>540</v>
      </c>
      <c r="O52" s="196"/>
      <c r="P52" s="175">
        <f t="shared" si="7"/>
        <v>30.839999999999996</v>
      </c>
      <c r="Q52" s="176">
        <f t="shared" si="12"/>
        <v>906482.62779935822</v>
      </c>
      <c r="R52" s="176">
        <f t="shared" si="4"/>
        <v>434397.89756853634</v>
      </c>
      <c r="S52" s="176">
        <f t="shared" si="5"/>
        <v>108599.4746321058</v>
      </c>
      <c r="T52" s="415">
        <f t="shared" si="1"/>
        <v>1449480.0000000005</v>
      </c>
    </row>
    <row r="53" spans="1:20">
      <c r="A53" s="177"/>
      <c r="B53" s="180"/>
      <c r="C53" s="219" t="s">
        <v>541</v>
      </c>
      <c r="D53" s="246">
        <f>SUM(D54:D60)</f>
        <v>16</v>
      </c>
      <c r="E53" s="246"/>
      <c r="F53" s="246">
        <f>SUM(F54:F60)</f>
        <v>14</v>
      </c>
      <c r="G53" s="221">
        <f>SUM(G54:G60)</f>
        <v>265.02000000000004</v>
      </c>
      <c r="H53" s="221">
        <f>SUM(H54:H60)</f>
        <v>45.6</v>
      </c>
      <c r="I53" s="222">
        <f>SUM(I54:I60)</f>
        <v>219.42000000000002</v>
      </c>
      <c r="J53" s="240">
        <f>SUM(J59:J60)</f>
        <v>133.19</v>
      </c>
      <c r="K53" s="220">
        <f>G53</f>
        <v>265.02000000000004</v>
      </c>
      <c r="L53" s="188"/>
      <c r="M53" s="223"/>
      <c r="N53" s="224" t="s">
        <v>542</v>
      </c>
      <c r="O53" s="225"/>
      <c r="P53" s="175">
        <f>SUM(P54:P60)</f>
        <v>318.024</v>
      </c>
      <c r="Q53" s="176">
        <f t="shared" si="12"/>
        <v>9347705.2925831117</v>
      </c>
      <c r="R53" s="176">
        <f t="shared" si="4"/>
        <v>4479538.1639538333</v>
      </c>
      <c r="S53" s="176">
        <f t="shared" si="5"/>
        <v>1119884.5434630618</v>
      </c>
      <c r="T53" s="415">
        <f t="shared" si="1"/>
        <v>14947128.000000007</v>
      </c>
    </row>
    <row r="54" spans="1:20">
      <c r="A54" s="177">
        <v>1</v>
      </c>
      <c r="B54" s="611">
        <v>1</v>
      </c>
      <c r="C54" s="179" t="s">
        <v>543</v>
      </c>
      <c r="D54" s="180">
        <v>1</v>
      </c>
      <c r="E54" s="232"/>
      <c r="F54" s="182">
        <v>1</v>
      </c>
      <c r="G54" s="183">
        <v>19.100000000000001</v>
      </c>
      <c r="H54" s="184">
        <v>19.100000000000001</v>
      </c>
      <c r="I54" s="185">
        <v>0</v>
      </c>
      <c r="J54" s="216"/>
      <c r="K54" s="180">
        <f t="shared" si="13"/>
        <v>19.100000000000001</v>
      </c>
      <c r="L54" s="195">
        <v>15.42</v>
      </c>
      <c r="M54" s="189"/>
      <c r="N54" s="194"/>
      <c r="O54" s="196"/>
      <c r="P54" s="175">
        <f t="shared" si="7"/>
        <v>22.92</v>
      </c>
      <c r="Q54" s="176">
        <f t="shared" si="12"/>
        <v>673689.42377306405</v>
      </c>
      <c r="R54" s="176">
        <f t="shared" si="4"/>
        <v>322840.46083887341</v>
      </c>
      <c r="S54" s="176">
        <f t="shared" si="5"/>
        <v>80710.115388063103</v>
      </c>
      <c r="T54" s="415">
        <f t="shared" si="1"/>
        <v>1077240.0000000005</v>
      </c>
    </row>
    <row r="55" spans="1:20" ht="28.9" customHeight="1">
      <c r="A55" s="177">
        <v>2</v>
      </c>
      <c r="B55" s="622"/>
      <c r="C55" s="192" t="s">
        <v>544</v>
      </c>
      <c r="D55" s="180">
        <v>2</v>
      </c>
      <c r="E55" s="182"/>
      <c r="F55" s="217">
        <v>1</v>
      </c>
      <c r="G55" s="183">
        <v>26.49</v>
      </c>
      <c r="H55" s="184">
        <v>0</v>
      </c>
      <c r="I55" s="185">
        <v>26.49</v>
      </c>
      <c r="J55" s="218">
        <f>G55</f>
        <v>26.49</v>
      </c>
      <c r="K55" s="180">
        <f t="shared" si="13"/>
        <v>26.49</v>
      </c>
      <c r="L55" s="188">
        <f>73.99*358/1000</f>
        <v>26.488419999999998</v>
      </c>
      <c r="M55" s="211" t="s">
        <v>545</v>
      </c>
      <c r="N55" s="214" t="s">
        <v>546</v>
      </c>
      <c r="O55" s="196"/>
      <c r="P55" s="175">
        <f t="shared" si="7"/>
        <v>31.787999999999997</v>
      </c>
      <c r="Q55" s="176">
        <f t="shared" si="12"/>
        <v>934347.26888735418</v>
      </c>
      <c r="R55" s="176">
        <f t="shared" si="4"/>
        <v>447750.98469223845</v>
      </c>
      <c r="S55" s="176">
        <f t="shared" si="5"/>
        <v>111937.74642040792</v>
      </c>
      <c r="T55" s="415">
        <f t="shared" si="1"/>
        <v>1494036.0000000005</v>
      </c>
    </row>
    <row r="56" spans="1:20">
      <c r="A56" s="177">
        <v>3</v>
      </c>
      <c r="B56" s="612"/>
      <c r="C56" s="179" t="s">
        <v>547</v>
      </c>
      <c r="D56" s="180">
        <v>2</v>
      </c>
      <c r="E56" s="181"/>
      <c r="F56" s="237">
        <v>2</v>
      </c>
      <c r="G56" s="228">
        <v>26.5</v>
      </c>
      <c r="H56" s="184">
        <v>26.5</v>
      </c>
      <c r="I56" s="185">
        <v>0</v>
      </c>
      <c r="J56" s="216"/>
      <c r="K56" s="180">
        <f t="shared" si="13"/>
        <v>26.5</v>
      </c>
      <c r="L56" s="195">
        <v>22.65</v>
      </c>
      <c r="M56" s="189"/>
      <c r="N56" s="190" t="s">
        <v>548</v>
      </c>
      <c r="O56" s="196"/>
      <c r="P56" s="175">
        <f t="shared" si="7"/>
        <v>31.799999999999997</v>
      </c>
      <c r="Q56" s="176">
        <f t="shared" si="12"/>
        <v>934699.98586315149</v>
      </c>
      <c r="R56" s="176">
        <f t="shared" si="4"/>
        <v>447920.01111152582</v>
      </c>
      <c r="S56" s="176">
        <f t="shared" si="5"/>
        <v>111980.00302532314</v>
      </c>
      <c r="T56" s="415">
        <f t="shared" si="1"/>
        <v>1494600.0000000005</v>
      </c>
    </row>
    <row r="57" spans="1:20" ht="51">
      <c r="A57" s="177">
        <f>A56+1</f>
        <v>4</v>
      </c>
      <c r="B57" s="611">
        <v>2</v>
      </c>
      <c r="C57" s="192" t="s">
        <v>549</v>
      </c>
      <c r="D57" s="180">
        <v>2</v>
      </c>
      <c r="E57" s="182"/>
      <c r="F57" s="217">
        <v>2</v>
      </c>
      <c r="G57" s="183">
        <v>39.700000000000003</v>
      </c>
      <c r="H57" s="184">
        <v>0</v>
      </c>
      <c r="I57" s="185">
        <v>39.700000000000003</v>
      </c>
      <c r="J57" s="247">
        <f>G57</f>
        <v>39.700000000000003</v>
      </c>
      <c r="K57" s="180"/>
      <c r="L57" s="188">
        <f>59.83*6650/10000</f>
        <v>39.786949999999997</v>
      </c>
      <c r="M57" s="230" t="s">
        <v>550</v>
      </c>
      <c r="N57" s="214" t="s">
        <v>551</v>
      </c>
      <c r="O57" s="196"/>
      <c r="P57" s="175">
        <f t="shared" si="7"/>
        <v>47.64</v>
      </c>
      <c r="Q57" s="176">
        <f t="shared" si="12"/>
        <v>1400286.3939157403</v>
      </c>
      <c r="R57" s="176">
        <f t="shared" si="4"/>
        <v>671034.88457085204</v>
      </c>
      <c r="S57" s="176">
        <f t="shared" si="5"/>
        <v>167758.72151340864</v>
      </c>
      <c r="T57" s="415">
        <f t="shared" si="1"/>
        <v>2239080.0000000009</v>
      </c>
    </row>
    <row r="58" spans="1:20" ht="51">
      <c r="A58" s="177">
        <f>A57+1</f>
        <v>5</v>
      </c>
      <c r="B58" s="612"/>
      <c r="C58" s="192" t="s">
        <v>552</v>
      </c>
      <c r="D58" s="180">
        <v>1</v>
      </c>
      <c r="E58" s="182" t="s">
        <v>449</v>
      </c>
      <c r="F58" s="182">
        <v>1</v>
      </c>
      <c r="G58" s="183">
        <v>20.04</v>
      </c>
      <c r="H58" s="184">
        <v>0</v>
      </c>
      <c r="I58" s="185">
        <v>20.04</v>
      </c>
      <c r="J58" s="187"/>
      <c r="K58" s="180">
        <f t="shared" si="13"/>
        <v>20.04</v>
      </c>
      <c r="L58" s="188">
        <f>59.83*335/1000</f>
        <v>20.043050000000001</v>
      </c>
      <c r="M58" s="230" t="s">
        <v>553</v>
      </c>
      <c r="N58" s="190" t="s">
        <v>554</v>
      </c>
      <c r="O58" s="194" t="s">
        <v>555</v>
      </c>
      <c r="P58" s="248">
        <f t="shared" si="7"/>
        <v>24.047999999999998</v>
      </c>
      <c r="Q58" s="176">
        <f t="shared" si="12"/>
        <v>706844.81949802104</v>
      </c>
      <c r="R58" s="176">
        <f t="shared" si="4"/>
        <v>338728.94425188599</v>
      </c>
      <c r="S58" s="176">
        <f t="shared" si="5"/>
        <v>84682.236250093425</v>
      </c>
      <c r="T58" s="415">
        <f t="shared" si="1"/>
        <v>1130256.0000000005</v>
      </c>
    </row>
    <row r="59" spans="1:20" ht="63.75">
      <c r="A59" s="177">
        <f>A58+1</f>
        <v>6</v>
      </c>
      <c r="B59" s="220">
        <v>3</v>
      </c>
      <c r="C59" s="192" t="s">
        <v>556</v>
      </c>
      <c r="D59" s="180">
        <v>5</v>
      </c>
      <c r="E59" s="182"/>
      <c r="F59" s="217">
        <v>4</v>
      </c>
      <c r="G59" s="183">
        <v>73.95</v>
      </c>
      <c r="H59" s="184">
        <v>0</v>
      </c>
      <c r="I59" s="185">
        <v>73.95</v>
      </c>
      <c r="J59" s="249">
        <v>73.95</v>
      </c>
      <c r="K59" s="180"/>
      <c r="L59" s="188">
        <v>73.95</v>
      </c>
      <c r="M59" s="211" t="s">
        <v>557</v>
      </c>
      <c r="N59" s="190" t="s">
        <v>558</v>
      </c>
      <c r="O59" s="196"/>
      <c r="P59" s="175">
        <f t="shared" si="7"/>
        <v>88.74</v>
      </c>
      <c r="Q59" s="176">
        <f t="shared" si="12"/>
        <v>2608342.0360218892</v>
      </c>
      <c r="R59" s="176">
        <f t="shared" si="4"/>
        <v>1249950.3706300883</v>
      </c>
      <c r="S59" s="176">
        <f t="shared" si="5"/>
        <v>312487.59334802441</v>
      </c>
      <c r="T59" s="415">
        <f t="shared" si="1"/>
        <v>4170780.0000000019</v>
      </c>
    </row>
    <row r="60" spans="1:20">
      <c r="A60" s="177">
        <f>A59+1</f>
        <v>7</v>
      </c>
      <c r="B60" s="220">
        <v>4</v>
      </c>
      <c r="C60" s="192" t="s">
        <v>559</v>
      </c>
      <c r="D60" s="180">
        <v>3</v>
      </c>
      <c r="E60" s="182"/>
      <c r="F60" s="217">
        <v>3</v>
      </c>
      <c r="G60" s="183">
        <v>59.24</v>
      </c>
      <c r="H60" s="184">
        <v>0</v>
      </c>
      <c r="I60" s="185">
        <v>59.24</v>
      </c>
      <c r="J60" s="249">
        <v>59.24</v>
      </c>
      <c r="K60" s="180"/>
      <c r="L60" s="188">
        <v>59.24</v>
      </c>
      <c r="M60" s="189"/>
      <c r="N60" s="190" t="s">
        <v>560</v>
      </c>
      <c r="O60" s="196"/>
      <c r="P60" s="175">
        <f t="shared" si="7"/>
        <v>71.087999999999994</v>
      </c>
      <c r="Q60" s="176">
        <f t="shared" si="12"/>
        <v>2089495.3646238905</v>
      </c>
      <c r="R60" s="176">
        <f t="shared" si="4"/>
        <v>1001312.5078583696</v>
      </c>
      <c r="S60" s="176">
        <f t="shared" si="5"/>
        <v>250328.12751774126</v>
      </c>
      <c r="T60" s="415">
        <f t="shared" si="1"/>
        <v>3341136.0000000014</v>
      </c>
    </row>
    <row r="61" spans="1:20" ht="22.15" customHeight="1">
      <c r="A61" s="177">
        <f>A17+A22+A32+A40+A47+A52+A60</f>
        <v>46</v>
      </c>
      <c r="B61" s="180"/>
      <c r="C61" s="179" t="s">
        <v>532</v>
      </c>
      <c r="D61" s="250">
        <f t="shared" ref="D61:P61" si="14">D53+D49+D41+D33+D23+D18+D7</f>
        <v>131</v>
      </c>
      <c r="E61" s="250"/>
      <c r="F61" s="250">
        <f t="shared" si="14"/>
        <v>88</v>
      </c>
      <c r="G61" s="184">
        <f>G53+G49+G41+G33+G23+G18+G7</f>
        <v>1720.5800000000002</v>
      </c>
      <c r="H61" s="184">
        <f t="shared" si="14"/>
        <v>767.39</v>
      </c>
      <c r="I61" s="243">
        <f t="shared" si="14"/>
        <v>953.19</v>
      </c>
      <c r="J61" s="187">
        <f t="shared" si="14"/>
        <v>365.84000000000003</v>
      </c>
      <c r="K61" s="187">
        <f t="shared" si="14"/>
        <v>1554.4299999999998</v>
      </c>
      <c r="L61" s="188"/>
      <c r="M61" s="187"/>
      <c r="N61" s="190"/>
      <c r="O61" s="196"/>
      <c r="P61" s="251">
        <f t="shared" si="14"/>
        <v>2064.6959999999999</v>
      </c>
      <c r="Q61" s="176">
        <f t="shared" si="12"/>
        <v>60687777.421751752</v>
      </c>
      <c r="R61" s="176">
        <f t="shared" si="4"/>
        <v>29082347.649746008</v>
      </c>
      <c r="S61" s="176">
        <f t="shared" si="5"/>
        <v>7270586.9285022831</v>
      </c>
      <c r="T61" s="415">
        <f t="shared" si="1"/>
        <v>97040712.000000045</v>
      </c>
    </row>
    <row r="62" spans="1:20">
      <c r="A62" s="177"/>
      <c r="B62" s="180"/>
      <c r="C62" s="179"/>
      <c r="D62" s="180"/>
      <c r="E62" s="182"/>
      <c r="F62" s="182"/>
      <c r="G62" s="252"/>
      <c r="H62" s="187"/>
      <c r="I62" s="253"/>
      <c r="J62" s="187"/>
      <c r="K62" s="187"/>
      <c r="L62" s="254"/>
      <c r="M62" s="187"/>
      <c r="N62" s="190"/>
      <c r="O62" s="255"/>
    </row>
    <row r="63" spans="1:20">
      <c r="A63" s="632" t="s">
        <v>561</v>
      </c>
      <c r="B63" s="633"/>
      <c r="C63" s="633"/>
      <c r="D63" s="633"/>
      <c r="E63" s="633"/>
      <c r="F63" s="633"/>
      <c r="G63" s="633"/>
      <c r="H63" s="633"/>
      <c r="I63" s="633"/>
      <c r="J63" s="633"/>
      <c r="K63" s="633"/>
      <c r="L63" s="633"/>
      <c r="M63" s="633"/>
      <c r="N63" s="634"/>
      <c r="O63" s="256"/>
    </row>
    <row r="64" spans="1:20">
      <c r="A64" s="635"/>
      <c r="B64" s="636"/>
      <c r="C64" s="636"/>
      <c r="D64" s="636"/>
      <c r="E64" s="636"/>
      <c r="F64" s="636"/>
      <c r="G64" s="636"/>
      <c r="H64" s="636"/>
      <c r="I64" s="636"/>
      <c r="J64" s="636"/>
      <c r="K64" s="636"/>
      <c r="L64" s="636"/>
      <c r="M64" s="636"/>
      <c r="N64" s="637"/>
      <c r="O64" s="256"/>
    </row>
    <row r="65" spans="1:25">
      <c r="A65" s="635"/>
      <c r="B65" s="636"/>
      <c r="C65" s="636"/>
      <c r="D65" s="636"/>
      <c r="E65" s="636"/>
      <c r="F65" s="636"/>
      <c r="G65" s="636"/>
      <c r="H65" s="636"/>
      <c r="I65" s="636"/>
      <c r="J65" s="636"/>
      <c r="K65" s="636"/>
      <c r="L65" s="636"/>
      <c r="M65" s="636"/>
      <c r="N65" s="637"/>
      <c r="O65" s="256"/>
    </row>
    <row r="66" spans="1:25">
      <c r="A66" s="638"/>
      <c r="B66" s="639"/>
      <c r="C66" s="639"/>
      <c r="D66" s="639"/>
      <c r="E66" s="639"/>
      <c r="F66" s="639"/>
      <c r="G66" s="639"/>
      <c r="H66" s="639"/>
      <c r="I66" s="639"/>
      <c r="J66" s="639"/>
      <c r="K66" s="639"/>
      <c r="L66" s="639"/>
      <c r="M66" s="639"/>
      <c r="N66" s="640"/>
      <c r="O66" s="256"/>
    </row>
    <row r="67" spans="1:25" ht="30.6" customHeight="1">
      <c r="C67" s="257" t="s">
        <v>562</v>
      </c>
    </row>
    <row r="68" spans="1:25" ht="14.45" hidden="1" customHeight="1"/>
    <row r="69" spans="1:25" ht="14.45" hidden="1" customHeight="1"/>
    <row r="70" spans="1:25" ht="14.45" hidden="1" customHeight="1"/>
    <row r="71" spans="1:25" ht="14.45" hidden="1" customHeight="1"/>
    <row r="72" spans="1:25" ht="14.45" hidden="1" customHeight="1"/>
    <row r="73" spans="1:25" ht="14.45" hidden="1" customHeight="1"/>
    <row r="74" spans="1:25" ht="22.15" customHeight="1">
      <c r="A74" s="549" t="s">
        <v>563</v>
      </c>
      <c r="B74" s="549"/>
      <c r="C74" s="549"/>
    </row>
    <row r="76" spans="1:25" ht="14.45" hidden="1" customHeight="1">
      <c r="A76" s="641" t="s">
        <v>564</v>
      </c>
      <c r="B76" s="642"/>
      <c r="C76" s="642"/>
      <c r="D76" s="642"/>
      <c r="E76" s="642"/>
      <c r="F76" s="642"/>
      <c r="G76" s="642"/>
      <c r="H76" s="642"/>
      <c r="I76" s="642"/>
      <c r="J76" s="642"/>
      <c r="K76" s="642"/>
      <c r="L76" s="642"/>
      <c r="M76" s="642"/>
      <c r="N76" s="642"/>
      <c r="O76" s="642"/>
      <c r="P76" s="642"/>
      <c r="Q76" s="642"/>
      <c r="R76" s="642"/>
      <c r="S76" s="642"/>
      <c r="T76" s="642"/>
      <c r="U76" s="642"/>
      <c r="V76" s="642"/>
      <c r="W76" s="642"/>
      <c r="X76" s="642"/>
      <c r="Y76" s="643"/>
    </row>
    <row r="77" spans="1:25" ht="39.6" hidden="1" customHeight="1">
      <c r="A77" s="260">
        <v>208</v>
      </c>
      <c r="B77" s="644" t="s">
        <v>565</v>
      </c>
      <c r="C77" s="220">
        <v>1</v>
      </c>
      <c r="D77" s="220" t="s">
        <v>566</v>
      </c>
      <c r="E77" s="220"/>
      <c r="F77" s="180">
        <v>4</v>
      </c>
      <c r="G77" s="261">
        <v>2</v>
      </c>
      <c r="H77" s="252">
        <v>34.1</v>
      </c>
      <c r="I77" s="262">
        <v>34.1</v>
      </c>
      <c r="J77" s="252">
        <v>0</v>
      </c>
      <c r="K77" s="179" t="s">
        <v>567</v>
      </c>
      <c r="L77" s="219"/>
      <c r="M77" s="179"/>
      <c r="N77" s="263"/>
      <c r="O77" s="179"/>
      <c r="P77" s="264"/>
      <c r="Q77" s="264"/>
      <c r="R77" s="264"/>
      <c r="S77" s="264"/>
      <c r="T77" s="180"/>
      <c r="U77" s="180"/>
      <c r="V77" s="180"/>
      <c r="W77" s="265"/>
      <c r="X77" s="264"/>
      <c r="Y77" s="264"/>
    </row>
    <row r="78" spans="1:25" ht="52.9" hidden="1" customHeight="1">
      <c r="A78" s="260">
        <v>209</v>
      </c>
      <c r="B78" s="645"/>
      <c r="C78" s="220">
        <v>2</v>
      </c>
      <c r="D78" s="220" t="s">
        <v>566</v>
      </c>
      <c r="E78" s="220"/>
      <c r="F78" s="180">
        <v>0</v>
      </c>
      <c r="G78" s="182">
        <v>1</v>
      </c>
      <c r="H78" s="252">
        <v>16.71</v>
      </c>
      <c r="I78" s="262">
        <v>0</v>
      </c>
      <c r="J78" s="252">
        <v>16.71</v>
      </c>
      <c r="K78" s="179" t="s">
        <v>537</v>
      </c>
      <c r="L78" s="219"/>
      <c r="M78" s="179"/>
      <c r="N78" s="263"/>
      <c r="O78" s="179"/>
      <c r="P78" s="264"/>
      <c r="Q78" s="264"/>
      <c r="R78" s="264"/>
      <c r="S78" s="264"/>
      <c r="T78" s="180"/>
      <c r="U78" s="180"/>
      <c r="V78" s="180"/>
      <c r="W78" s="265"/>
      <c r="X78" s="264"/>
      <c r="Y78" s="264"/>
    </row>
    <row r="79" spans="1:25" ht="43.9" hidden="1" customHeight="1">
      <c r="A79" s="260">
        <v>210</v>
      </c>
      <c r="B79" s="646"/>
      <c r="C79" s="220">
        <v>3</v>
      </c>
      <c r="D79" s="220" t="s">
        <v>566</v>
      </c>
      <c r="E79" s="220"/>
      <c r="F79" s="180">
        <v>2</v>
      </c>
      <c r="G79" s="182">
        <v>2</v>
      </c>
      <c r="H79" s="252">
        <v>25.7</v>
      </c>
      <c r="I79" s="262">
        <v>25.7</v>
      </c>
      <c r="J79" s="252">
        <v>0</v>
      </c>
      <c r="K79" s="179" t="s">
        <v>539</v>
      </c>
      <c r="L79" s="219"/>
      <c r="M79" s="179"/>
      <c r="N79" s="263"/>
      <c r="O79" s="179"/>
      <c r="P79" s="264"/>
      <c r="Q79" s="264"/>
      <c r="R79" s="264"/>
      <c r="S79" s="264"/>
      <c r="T79" s="180"/>
      <c r="U79" s="180"/>
      <c r="V79" s="180"/>
      <c r="W79" s="265"/>
      <c r="X79" s="264"/>
      <c r="Y79" s="264"/>
    </row>
    <row r="80" spans="1:25" ht="14.45" hidden="1" customHeight="1">
      <c r="A80" s="266"/>
      <c r="B80" s="220" t="s">
        <v>568</v>
      </c>
      <c r="C80" s="220"/>
      <c r="D80" s="220">
        <v>3</v>
      </c>
      <c r="E80" s="220"/>
      <c r="F80" s="220">
        <f>SUM(F77:F79)</f>
        <v>6</v>
      </c>
      <c r="G80" s="220">
        <f>SUM(G77:G79)</f>
        <v>5</v>
      </c>
      <c r="H80" s="220">
        <f>SUM(H77:H79)</f>
        <v>76.510000000000005</v>
      </c>
      <c r="I80" s="267">
        <f>SUM(I77:I79)</f>
        <v>59.8</v>
      </c>
      <c r="J80" s="220">
        <f>SUM(J77:J79)</f>
        <v>16.71</v>
      </c>
      <c r="K80" s="252"/>
      <c r="L80" s="268"/>
      <c r="M80" s="252"/>
      <c r="N80" s="269"/>
      <c r="O80" s="252"/>
      <c r="P80" s="270"/>
      <c r="Q80" s="270"/>
      <c r="R80" s="270"/>
      <c r="S80" s="270"/>
      <c r="T80" s="220"/>
      <c r="U80" s="220"/>
      <c r="V80" s="220"/>
      <c r="W80" s="265"/>
      <c r="X80" s="270"/>
      <c r="Y80" s="270"/>
    </row>
    <row r="81" spans="1:25" ht="14.45" hidden="1" customHeight="1"/>
    <row r="82" spans="1:25" s="271" customFormat="1" ht="12.75" hidden="1" customHeight="1">
      <c r="A82" s="641" t="s">
        <v>569</v>
      </c>
      <c r="B82" s="642"/>
      <c r="C82" s="642"/>
      <c r="D82" s="642"/>
      <c r="E82" s="642"/>
      <c r="F82" s="642"/>
      <c r="G82" s="642"/>
      <c r="H82" s="642"/>
      <c r="I82" s="642"/>
      <c r="J82" s="642"/>
      <c r="K82" s="642"/>
      <c r="L82" s="642"/>
      <c r="M82" s="642"/>
      <c r="N82" s="642"/>
      <c r="O82" s="642"/>
      <c r="P82" s="642"/>
      <c r="Q82" s="642"/>
      <c r="R82" s="642"/>
      <c r="S82" s="642"/>
      <c r="T82" s="642"/>
      <c r="U82" s="642"/>
      <c r="V82" s="642"/>
      <c r="W82" s="642"/>
      <c r="X82" s="642"/>
      <c r="Y82" s="643"/>
    </row>
    <row r="83" spans="1:25" s="271" customFormat="1" ht="39.6" hidden="1" customHeight="1">
      <c r="A83" s="260">
        <v>60</v>
      </c>
      <c r="B83" s="629" t="s">
        <v>570</v>
      </c>
      <c r="C83" s="611">
        <v>1</v>
      </c>
      <c r="D83" s="272" t="s">
        <v>571</v>
      </c>
      <c r="E83" s="272"/>
      <c r="F83" s="180">
        <v>1</v>
      </c>
      <c r="G83" s="182">
        <v>1</v>
      </c>
      <c r="H83" s="252">
        <v>19.100000000000001</v>
      </c>
      <c r="I83" s="262">
        <v>19.100000000000001</v>
      </c>
      <c r="J83" s="252">
        <v>0</v>
      </c>
      <c r="K83" s="179" t="s">
        <v>543</v>
      </c>
      <c r="L83" s="219"/>
      <c r="M83" s="179"/>
      <c r="N83" s="263"/>
      <c r="O83" s="179"/>
      <c r="P83" s="264"/>
      <c r="Q83" s="264"/>
      <c r="R83" s="264"/>
      <c r="S83" s="264"/>
      <c r="T83" s="180"/>
      <c r="U83" s="180"/>
      <c r="V83" s="180"/>
      <c r="W83" s="265"/>
      <c r="X83" s="264"/>
      <c r="Y83" s="264"/>
    </row>
    <row r="84" spans="1:25" s="271" customFormat="1" ht="39.6" hidden="1" customHeight="1">
      <c r="A84" s="260">
        <v>61</v>
      </c>
      <c r="B84" s="630"/>
      <c r="C84" s="622"/>
      <c r="D84" s="273" t="s">
        <v>571</v>
      </c>
      <c r="E84" s="273"/>
      <c r="F84" s="180">
        <v>2</v>
      </c>
      <c r="G84" s="182">
        <v>1</v>
      </c>
      <c r="H84" s="252">
        <v>26.49</v>
      </c>
      <c r="I84" s="262">
        <v>0</v>
      </c>
      <c r="J84" s="252">
        <v>26.49</v>
      </c>
      <c r="K84" s="179" t="s">
        <v>544</v>
      </c>
      <c r="L84" s="219"/>
      <c r="M84" s="179"/>
      <c r="N84" s="263"/>
      <c r="O84" s="179"/>
      <c r="P84" s="264"/>
      <c r="Q84" s="264"/>
      <c r="R84" s="264"/>
      <c r="S84" s="264"/>
      <c r="T84" s="180"/>
      <c r="U84" s="180"/>
      <c r="V84" s="180"/>
      <c r="W84" s="265"/>
      <c r="X84" s="264"/>
      <c r="Y84" s="264"/>
    </row>
    <row r="85" spans="1:25" s="271" customFormat="1" ht="52.9" hidden="1" customHeight="1">
      <c r="A85" s="260">
        <v>62</v>
      </c>
      <c r="B85" s="630"/>
      <c r="C85" s="612"/>
      <c r="D85" s="273" t="s">
        <v>571</v>
      </c>
      <c r="E85" s="273"/>
      <c r="F85" s="180">
        <v>2</v>
      </c>
      <c r="G85" s="182">
        <v>1</v>
      </c>
      <c r="H85" s="252">
        <v>26.5</v>
      </c>
      <c r="I85" s="262">
        <v>26.5</v>
      </c>
      <c r="J85" s="252">
        <v>0</v>
      </c>
      <c r="K85" s="179" t="s">
        <v>547</v>
      </c>
      <c r="L85" s="219"/>
      <c r="M85" s="179"/>
      <c r="N85" s="263"/>
      <c r="O85" s="179"/>
      <c r="P85" s="264"/>
      <c r="Q85" s="264"/>
      <c r="R85" s="264"/>
      <c r="S85" s="264"/>
      <c r="T85" s="180"/>
      <c r="U85" s="180"/>
      <c r="V85" s="180"/>
      <c r="W85" s="265"/>
      <c r="X85" s="264"/>
      <c r="Y85" s="264"/>
    </row>
    <row r="86" spans="1:25" s="271" customFormat="1" ht="171.6" hidden="1" customHeight="1">
      <c r="A86" s="260">
        <v>63</v>
      </c>
      <c r="B86" s="630"/>
      <c r="C86" s="611">
        <v>2</v>
      </c>
      <c r="D86" s="273" t="s">
        <v>571</v>
      </c>
      <c r="E86" s="273"/>
      <c r="F86" s="180">
        <v>2</v>
      </c>
      <c r="G86" s="182">
        <v>2</v>
      </c>
      <c r="H86" s="252">
        <v>39.700000000000003</v>
      </c>
      <c r="I86" s="262">
        <v>0</v>
      </c>
      <c r="J86" s="252">
        <v>39.700000000000003</v>
      </c>
      <c r="K86" s="179" t="s">
        <v>549</v>
      </c>
      <c r="L86" s="219"/>
      <c r="M86" s="179"/>
      <c r="N86" s="263"/>
      <c r="O86" s="179"/>
      <c r="P86" s="264"/>
      <c r="Q86" s="264"/>
      <c r="R86" s="264"/>
      <c r="S86" s="264"/>
      <c r="T86" s="180"/>
      <c r="U86" s="180"/>
      <c r="V86" s="180"/>
      <c r="W86" s="265"/>
      <c r="X86" s="264"/>
      <c r="Y86" s="264"/>
    </row>
    <row r="87" spans="1:25" s="271" customFormat="1" ht="211.15" hidden="1" customHeight="1">
      <c r="A87" s="260">
        <v>64</v>
      </c>
      <c r="B87" s="630"/>
      <c r="C87" s="612"/>
      <c r="D87" s="273" t="s">
        <v>571</v>
      </c>
      <c r="E87" s="273"/>
      <c r="F87" s="180">
        <v>1</v>
      </c>
      <c r="G87" s="182">
        <v>1</v>
      </c>
      <c r="H87" s="252">
        <v>20.04</v>
      </c>
      <c r="I87" s="262">
        <v>0</v>
      </c>
      <c r="J87" s="252">
        <v>20.04</v>
      </c>
      <c r="K87" s="179" t="s">
        <v>552</v>
      </c>
      <c r="L87" s="219"/>
      <c r="M87" s="179"/>
      <c r="N87" s="263"/>
      <c r="O87" s="179"/>
      <c r="P87" s="264"/>
      <c r="Q87" s="264"/>
      <c r="R87" s="264"/>
      <c r="S87" s="264"/>
      <c r="T87" s="180"/>
      <c r="U87" s="180"/>
      <c r="V87" s="180"/>
      <c r="W87" s="265"/>
      <c r="X87" s="264"/>
      <c r="Y87" s="264"/>
    </row>
    <row r="88" spans="1:25" s="271" customFormat="1" ht="224.45" hidden="1" customHeight="1">
      <c r="A88" s="260">
        <v>65</v>
      </c>
      <c r="B88" s="630"/>
      <c r="C88" s="220">
        <v>3</v>
      </c>
      <c r="D88" s="273" t="s">
        <v>566</v>
      </c>
      <c r="E88" s="273"/>
      <c r="F88" s="180">
        <v>5</v>
      </c>
      <c r="G88" s="182">
        <v>4</v>
      </c>
      <c r="H88" s="252">
        <v>73.95</v>
      </c>
      <c r="I88" s="262">
        <v>0</v>
      </c>
      <c r="J88" s="252">
        <v>73.95</v>
      </c>
      <c r="K88" s="179" t="s">
        <v>556</v>
      </c>
      <c r="L88" s="219"/>
      <c r="M88" s="179"/>
      <c r="N88" s="263"/>
      <c r="O88" s="179"/>
      <c r="P88" s="264"/>
      <c r="Q88" s="264"/>
      <c r="R88" s="264"/>
      <c r="S88" s="264"/>
      <c r="T88" s="180"/>
      <c r="U88" s="180"/>
      <c r="V88" s="180"/>
      <c r="W88" s="265"/>
      <c r="X88" s="264"/>
      <c r="Y88" s="264"/>
    </row>
    <row r="89" spans="1:25" s="271" customFormat="1" ht="39.6" hidden="1" customHeight="1">
      <c r="A89" s="260">
        <v>66</v>
      </c>
      <c r="B89" s="631"/>
      <c r="C89" s="220">
        <v>4</v>
      </c>
      <c r="D89" s="273" t="s">
        <v>566</v>
      </c>
      <c r="E89" s="273"/>
      <c r="F89" s="180">
        <v>3</v>
      </c>
      <c r="G89" s="182">
        <v>3</v>
      </c>
      <c r="H89" s="252">
        <v>59.24</v>
      </c>
      <c r="I89" s="262">
        <v>0</v>
      </c>
      <c r="J89" s="252">
        <v>59.24</v>
      </c>
      <c r="K89" s="179" t="s">
        <v>559</v>
      </c>
      <c r="L89" s="219"/>
      <c r="M89" s="179"/>
      <c r="N89" s="263"/>
      <c r="O89" s="179"/>
      <c r="P89" s="264"/>
      <c r="Q89" s="264"/>
      <c r="R89" s="264"/>
      <c r="S89" s="264"/>
      <c r="T89" s="180"/>
      <c r="U89" s="180"/>
      <c r="V89" s="180"/>
      <c r="W89" s="265"/>
      <c r="X89" s="264"/>
      <c r="Y89" s="264"/>
    </row>
    <row r="90" spans="1:25" ht="14.45" hidden="1" customHeight="1">
      <c r="A90" s="266"/>
      <c r="B90" s="220" t="s">
        <v>568</v>
      </c>
      <c r="C90" s="220"/>
      <c r="D90" s="220">
        <v>7</v>
      </c>
      <c r="E90" s="220"/>
      <c r="F90" s="220">
        <f>SUM(F83:F89)</f>
        <v>16</v>
      </c>
      <c r="G90" s="220">
        <f>SUM(G83:G89)</f>
        <v>13</v>
      </c>
      <c r="H90" s="220">
        <f>SUM(H83:H89)</f>
        <v>265.02000000000004</v>
      </c>
      <c r="I90" s="267">
        <f>SUM(I83:I89)</f>
        <v>45.6</v>
      </c>
      <c r="J90" s="220">
        <f>SUM(J83:J89)</f>
        <v>219.42000000000002</v>
      </c>
      <c r="K90" s="252"/>
      <c r="L90" s="268"/>
      <c r="M90" s="252"/>
      <c r="N90" s="269"/>
      <c r="O90" s="252"/>
      <c r="P90" s="270"/>
      <c r="Q90" s="270"/>
      <c r="R90" s="270"/>
      <c r="S90" s="270"/>
      <c r="T90" s="220"/>
      <c r="U90" s="220"/>
      <c r="V90" s="220"/>
      <c r="W90" s="265"/>
      <c r="X90" s="270"/>
      <c r="Y90" s="270"/>
    </row>
    <row r="91" spans="1:25" ht="14.45" hidden="1" customHeight="1"/>
    <row r="92" spans="1:25" ht="14.45" hidden="1" customHeight="1"/>
    <row r="93" spans="1:25">
      <c r="G93" s="142" t="s">
        <v>573</v>
      </c>
      <c r="H93" s="142" t="s">
        <v>574</v>
      </c>
      <c r="I93" s="258" t="s">
        <v>575</v>
      </c>
    </row>
    <row r="94" spans="1:25">
      <c r="C94" s="142" t="s">
        <v>572</v>
      </c>
      <c r="G94" s="274">
        <f>G9+G13+G14+G15+G17+G20+G34+G37+G38+G40+G44+G46+G51+G55+G57+G58+G59+G60</f>
        <v>569.22</v>
      </c>
      <c r="H94" s="142">
        <v>18</v>
      </c>
      <c r="I94" s="258">
        <f>D9+D13+D14+D15+D17+D20+D34+D37+D38+D40+D44+D46+D51+D55+D57+D58+D59+D60</f>
        <v>40</v>
      </c>
    </row>
  </sheetData>
  <mergeCells count="23">
    <mergeCell ref="T5:T6"/>
    <mergeCell ref="S5:S6"/>
    <mergeCell ref="B54:B56"/>
    <mergeCell ref="P5:P6"/>
    <mergeCell ref="Q5:Q6"/>
    <mergeCell ref="R5:R6"/>
    <mergeCell ref="B83:B89"/>
    <mergeCell ref="C83:C85"/>
    <mergeCell ref="C86:C87"/>
    <mergeCell ref="B57:B58"/>
    <mergeCell ref="A63:N66"/>
    <mergeCell ref="A74:C74"/>
    <mergeCell ref="A76:Y76"/>
    <mergeCell ref="B77:B79"/>
    <mergeCell ref="A82:Y82"/>
    <mergeCell ref="A1:N1"/>
    <mergeCell ref="A2:N2"/>
    <mergeCell ref="D5:D6"/>
    <mergeCell ref="F5:F6"/>
    <mergeCell ref="G5:G6"/>
    <mergeCell ref="H5:H6"/>
    <mergeCell ref="I5:I6"/>
    <mergeCell ref="J5:K5"/>
  </mergeCells>
  <phoneticPr fontId="63" type="noConversion"/>
  <pageMargins left="0" right="0" top="0" bottom="0" header="0.31496062992125984" footer="0.31496062992125984"/>
  <pageSetup paperSize="9" scale="57" fitToHeight="2" orientation="landscape" r:id="rId1"/>
</worksheet>
</file>

<file path=xl/worksheets/sheet12.xml><?xml version="1.0" encoding="utf-8"?>
<worksheet xmlns="http://schemas.openxmlformats.org/spreadsheetml/2006/main" xmlns:r="http://schemas.openxmlformats.org/officeDocument/2006/relationships">
  <sheetPr>
    <tabColor rgb="FFFF0000"/>
    <pageSetUpPr fitToPage="1"/>
  </sheetPr>
  <dimension ref="A1:Y64"/>
  <sheetViews>
    <sheetView topLeftCell="A3" zoomScale="85" zoomScaleNormal="85" workbookViewId="0">
      <pane xSplit="4" ySplit="4" topLeftCell="G21" activePane="bottomRight" state="frozen"/>
      <selection activeCell="C22" activeCellId="1" sqref="C19 C22"/>
      <selection pane="topRight" activeCell="C22" activeCellId="1" sqref="C19 C22"/>
      <selection pane="bottomLeft" activeCell="C22" activeCellId="1" sqref="C19 C22"/>
      <selection pane="bottomRight" activeCell="T13" sqref="T13"/>
    </sheetView>
  </sheetViews>
  <sheetFormatPr defaultColWidth="8.85546875" defaultRowHeight="15"/>
  <cols>
    <col min="1" max="1" width="3.28515625" style="142" customWidth="1"/>
    <col min="2" max="2" width="4" style="142" customWidth="1"/>
    <col min="3" max="3" width="33.85546875" style="142" customWidth="1"/>
    <col min="4" max="5" width="6.42578125" style="142" customWidth="1"/>
    <col min="6" max="6" width="6.140625" style="142" customWidth="1"/>
    <col min="7" max="7" width="11.28515625" style="142" customWidth="1"/>
    <col min="8" max="8" width="9.5703125" style="142" customWidth="1"/>
    <col min="9" max="9" width="10.28515625" style="258" customWidth="1"/>
    <col min="10" max="10" width="9" style="142" customWidth="1"/>
    <col min="11" max="11" width="17.140625" style="142" customWidth="1"/>
    <col min="12" max="12" width="11.85546875" style="259" customWidth="1"/>
    <col min="13" max="13" width="11.85546875" style="142" customWidth="1"/>
    <col min="14" max="14" width="11.85546875" style="62" customWidth="1"/>
    <col min="15" max="16" width="11.85546875" style="142" customWidth="1"/>
    <col min="17" max="17" width="16" style="142" customWidth="1"/>
    <col min="18" max="19" width="14.42578125" style="142" customWidth="1"/>
    <col min="20" max="20" width="17.7109375" style="142" customWidth="1"/>
    <col min="21" max="21" width="9.28515625" style="142" customWidth="1"/>
    <col min="22" max="16384" width="8.85546875" style="142"/>
  </cols>
  <sheetData>
    <row r="1" spans="1:21" ht="36.6" customHeight="1">
      <c r="A1" s="626" t="s">
        <v>425</v>
      </c>
      <c r="B1" s="626"/>
      <c r="C1" s="626"/>
      <c r="D1" s="626"/>
      <c r="E1" s="626"/>
      <c r="F1" s="626"/>
      <c r="G1" s="626"/>
      <c r="H1" s="626"/>
      <c r="I1" s="626"/>
      <c r="J1" s="626"/>
      <c r="K1" s="626"/>
      <c r="L1" s="626"/>
      <c r="M1" s="626"/>
      <c r="N1" s="626"/>
      <c r="O1" s="146"/>
    </row>
    <row r="2" spans="1:21" ht="18" customHeight="1">
      <c r="A2" s="626" t="s">
        <v>426</v>
      </c>
      <c r="B2" s="626"/>
      <c r="C2" s="626"/>
      <c r="D2" s="626"/>
      <c r="E2" s="626"/>
      <c r="F2" s="626"/>
      <c r="G2" s="626"/>
      <c r="H2" s="626"/>
      <c r="I2" s="626"/>
      <c r="J2" s="626"/>
      <c r="K2" s="626"/>
      <c r="L2" s="626"/>
      <c r="M2" s="626"/>
      <c r="N2" s="626"/>
      <c r="O2" s="146"/>
    </row>
    <row r="3" spans="1:21" ht="15.6" customHeight="1">
      <c r="A3" s="146"/>
      <c r="B3" s="146"/>
      <c r="C3" s="146"/>
      <c r="D3" s="146"/>
      <c r="E3" s="146"/>
      <c r="F3" s="146"/>
      <c r="G3" s="146"/>
      <c r="H3" s="146"/>
      <c r="I3" s="146"/>
      <c r="J3" s="147">
        <v>4</v>
      </c>
      <c r="K3" s="148" t="s">
        <v>427</v>
      </c>
      <c r="L3" s="146"/>
      <c r="M3" s="146"/>
      <c r="N3" s="146"/>
      <c r="O3" s="146"/>
    </row>
    <row r="4" spans="1:21" ht="15.6" customHeight="1">
      <c r="A4" s="149"/>
      <c r="B4" s="149"/>
      <c r="C4" s="149"/>
      <c r="D4" s="149"/>
      <c r="E4" s="149"/>
      <c r="F4" s="149"/>
      <c r="G4" s="149"/>
      <c r="H4" s="149"/>
      <c r="I4" s="150"/>
      <c r="J4" s="151">
        <v>9</v>
      </c>
      <c r="K4" s="148" t="s">
        <v>428</v>
      </c>
      <c r="L4" s="152"/>
      <c r="M4" s="149"/>
      <c r="N4" s="153"/>
      <c r="O4" s="149"/>
      <c r="T4" s="424"/>
    </row>
    <row r="5" spans="1:21" ht="30.6" customHeight="1">
      <c r="A5" s="154"/>
      <c r="B5" s="154"/>
      <c r="C5" s="154"/>
      <c r="D5" s="606" t="s">
        <v>429</v>
      </c>
      <c r="E5" s="155"/>
      <c r="F5" s="606" t="s">
        <v>430</v>
      </c>
      <c r="G5" s="606" t="s">
        <v>431</v>
      </c>
      <c r="H5" s="606" t="s">
        <v>432</v>
      </c>
      <c r="I5" s="627" t="s">
        <v>433</v>
      </c>
      <c r="J5" s="623" t="s">
        <v>434</v>
      </c>
      <c r="K5" s="625"/>
      <c r="L5" s="156"/>
      <c r="M5" s="157"/>
      <c r="N5" s="158"/>
      <c r="O5" s="157"/>
      <c r="P5" s="606" t="s">
        <v>435</v>
      </c>
      <c r="Q5" s="606"/>
      <c r="R5" s="606"/>
      <c r="S5" s="606"/>
      <c r="T5" s="606"/>
    </row>
    <row r="6" spans="1:21" ht="88.15" customHeight="1">
      <c r="A6" s="159" t="s">
        <v>3</v>
      </c>
      <c r="B6" s="159" t="s">
        <v>436</v>
      </c>
      <c r="C6" s="160" t="s">
        <v>437</v>
      </c>
      <c r="D6" s="607"/>
      <c r="E6" s="161" t="s">
        <v>438</v>
      </c>
      <c r="F6" s="607"/>
      <c r="G6" s="607"/>
      <c r="H6" s="607"/>
      <c r="I6" s="628"/>
      <c r="J6" s="162" t="s">
        <v>439</v>
      </c>
      <c r="K6" s="163" t="s">
        <v>440</v>
      </c>
      <c r="L6" s="164"/>
      <c r="M6" s="165"/>
      <c r="N6" s="166" t="s">
        <v>441</v>
      </c>
      <c r="O6" s="165" t="s">
        <v>442</v>
      </c>
      <c r="P6" s="607"/>
      <c r="Q6" s="607"/>
      <c r="R6" s="607"/>
      <c r="S6" s="607"/>
      <c r="T6" s="607"/>
    </row>
    <row r="7" spans="1:21" s="414" customFormat="1">
      <c r="A7" s="426"/>
      <c r="B7" s="426"/>
      <c r="C7" s="167" t="s">
        <v>443</v>
      </c>
      <c r="D7" s="427">
        <f>SUM(D8:D12)</f>
        <v>13</v>
      </c>
      <c r="E7" s="427"/>
      <c r="F7" s="427">
        <f t="shared" ref="F7:K7" si="0">SUM(F8:F12)</f>
        <v>6</v>
      </c>
      <c r="G7" s="428">
        <f t="shared" si="0"/>
        <v>131.66999999999999</v>
      </c>
      <c r="H7" s="427">
        <f t="shared" si="0"/>
        <v>0</v>
      </c>
      <c r="I7" s="429">
        <f t="shared" si="0"/>
        <v>131.66999999999999</v>
      </c>
      <c r="J7" s="427">
        <f t="shared" si="0"/>
        <v>68.97</v>
      </c>
      <c r="K7" s="428">
        <f t="shared" si="0"/>
        <v>62.7</v>
      </c>
      <c r="L7" s="171"/>
      <c r="M7" s="430"/>
      <c r="N7" s="431" t="s">
        <v>444</v>
      </c>
      <c r="O7" s="431"/>
      <c r="P7" s="425">
        <f>G7</f>
        <v>131.66999999999999</v>
      </c>
      <c r="Q7" s="422">
        <v>3870187.0169371413</v>
      </c>
      <c r="R7" s="422">
        <v>1854642.385630649</v>
      </c>
      <c r="S7" s="422">
        <v>463660.5974322104</v>
      </c>
      <c r="T7" s="422">
        <f>SUM(Q7:S7)</f>
        <v>6188490.0000000009</v>
      </c>
      <c r="U7" s="414">
        <f>T7/P7</f>
        <v>47000.000000000015</v>
      </c>
    </row>
    <row r="8" spans="1:21" ht="51">
      <c r="A8" s="177">
        <v>2</v>
      </c>
      <c r="B8" s="178">
        <v>1</v>
      </c>
      <c r="C8" s="192" t="s">
        <v>448</v>
      </c>
      <c r="D8" s="180">
        <v>4</v>
      </c>
      <c r="E8" s="182" t="s">
        <v>449</v>
      </c>
      <c r="F8" s="182">
        <v>1</v>
      </c>
      <c r="G8" s="183">
        <v>18.07</v>
      </c>
      <c r="H8" s="184">
        <v>0</v>
      </c>
      <c r="I8" s="185">
        <v>18.07</v>
      </c>
      <c r="J8" s="193" t="s">
        <v>450</v>
      </c>
      <c r="K8" s="187">
        <v>18.07</v>
      </c>
      <c r="L8" s="188">
        <f>75.32*240/1000</f>
        <v>18.076799999999999</v>
      </c>
      <c r="M8" s="189"/>
      <c r="N8" s="190" t="s">
        <v>451</v>
      </c>
      <c r="O8" s="194" t="s">
        <v>452</v>
      </c>
      <c r="P8" s="175">
        <f>G8</f>
        <v>18.07</v>
      </c>
      <c r="Q8" s="176">
        <f>Q7/P7*P8</f>
        <v>531132.97938827483</v>
      </c>
      <c r="R8" s="176">
        <f>R7/P7*P8</f>
        <v>254525.61637689549</v>
      </c>
      <c r="S8" s="176">
        <f>S7/P7*P8</f>
        <v>63631.404234829824</v>
      </c>
      <c r="T8" s="176">
        <f t="shared" ref="T8:T30" si="1">SUM(Q8:S8)</f>
        <v>849290.00000000012</v>
      </c>
      <c r="U8" s="142">
        <f>T8/P8</f>
        <v>47000.000000000007</v>
      </c>
    </row>
    <row r="9" spans="1:21" ht="25.5">
      <c r="A9" s="177">
        <v>6</v>
      </c>
      <c r="B9" s="180">
        <v>3</v>
      </c>
      <c r="C9" s="192" t="s">
        <v>460</v>
      </c>
      <c r="D9" s="180">
        <v>2</v>
      </c>
      <c r="E9" s="182"/>
      <c r="F9" s="212">
        <v>1</v>
      </c>
      <c r="G9" s="183">
        <v>29.37</v>
      </c>
      <c r="H9" s="184">
        <v>0</v>
      </c>
      <c r="I9" s="185">
        <v>29.37</v>
      </c>
      <c r="J9" s="213">
        <f>G9</f>
        <v>29.37</v>
      </c>
      <c r="K9" s="187"/>
      <c r="L9" s="188">
        <f>73.98*397/1000</f>
        <v>29.370060000000002</v>
      </c>
      <c r="M9" s="211" t="s">
        <v>461</v>
      </c>
      <c r="N9" s="214" t="s">
        <v>462</v>
      </c>
      <c r="O9" s="196"/>
      <c r="P9" s="175">
        <f t="shared" ref="P9:P30" si="2">G9</f>
        <v>29.37</v>
      </c>
      <c r="Q9" s="176">
        <f t="shared" ref="Q9:Q14" si="3">Q8/P8*P9</f>
        <v>863274.79826417449</v>
      </c>
      <c r="R9" s="176">
        <f t="shared" ref="R9:R14" si="4">R8/P8*P9</f>
        <v>413692.16120583401</v>
      </c>
      <c r="S9" s="176">
        <f t="shared" ref="S9:S14" si="5">S8/P8*P9</f>
        <v>103423.04052999181</v>
      </c>
      <c r="T9" s="176">
        <f t="shared" si="1"/>
        <v>1380390.0000000002</v>
      </c>
      <c r="U9" s="142">
        <f>T9/P9</f>
        <v>47000.000000000007</v>
      </c>
    </row>
    <row r="10" spans="1:21" ht="38.25">
      <c r="A10" s="177">
        <v>7</v>
      </c>
      <c r="B10" s="180">
        <v>3</v>
      </c>
      <c r="C10" s="192" t="s">
        <v>463</v>
      </c>
      <c r="D10" s="180">
        <v>0</v>
      </c>
      <c r="E10" s="182" t="s">
        <v>449</v>
      </c>
      <c r="F10" s="182">
        <v>1</v>
      </c>
      <c r="G10" s="183">
        <v>17.829999999999998</v>
      </c>
      <c r="H10" s="184">
        <v>0</v>
      </c>
      <c r="I10" s="185">
        <v>17.829999999999998</v>
      </c>
      <c r="J10" s="210"/>
      <c r="K10" s="187">
        <v>17.829999999999998</v>
      </c>
      <c r="L10" s="188">
        <f>74*241/1000</f>
        <v>17.834</v>
      </c>
      <c r="M10" s="211"/>
      <c r="N10" s="190" t="s">
        <v>464</v>
      </c>
      <c r="O10" s="194" t="s">
        <v>465</v>
      </c>
      <c r="P10" s="175">
        <f t="shared" si="2"/>
        <v>17.829999999999998</v>
      </c>
      <c r="Q10" s="176">
        <f t="shared" si="3"/>
        <v>524078.63987232646</v>
      </c>
      <c r="R10" s="176">
        <f t="shared" si="4"/>
        <v>251145.08799114812</v>
      </c>
      <c r="S10" s="176">
        <f t="shared" si="5"/>
        <v>62786.272136525491</v>
      </c>
      <c r="T10" s="176">
        <f t="shared" si="1"/>
        <v>838010</v>
      </c>
      <c r="U10" s="142">
        <f t="shared" ref="U10:U25" si="6">T10/P10</f>
        <v>47000.000000000007</v>
      </c>
    </row>
    <row r="11" spans="1:21" ht="76.5">
      <c r="A11" s="177">
        <v>8</v>
      </c>
      <c r="B11" s="209">
        <v>3</v>
      </c>
      <c r="C11" s="192" t="s">
        <v>466</v>
      </c>
      <c r="D11" s="180">
        <v>3</v>
      </c>
      <c r="E11" s="215" t="s">
        <v>446</v>
      </c>
      <c r="F11" s="182">
        <v>1</v>
      </c>
      <c r="G11" s="183">
        <v>26.8</v>
      </c>
      <c r="H11" s="184">
        <v>0</v>
      </c>
      <c r="I11" s="185">
        <v>26.8</v>
      </c>
      <c r="J11" s="216"/>
      <c r="K11" s="187">
        <v>26.8</v>
      </c>
      <c r="L11" s="188">
        <f>74*1448/4000</f>
        <v>26.788</v>
      </c>
      <c r="M11" s="211"/>
      <c r="N11" s="190" t="s">
        <v>467</v>
      </c>
      <c r="O11" s="194" t="s">
        <v>468</v>
      </c>
      <c r="P11" s="175">
        <f t="shared" si="2"/>
        <v>26.8</v>
      </c>
      <c r="Q11" s="176">
        <f t="shared" si="3"/>
        <v>787734.5792808946</v>
      </c>
      <c r="R11" s="176">
        <f t="shared" si="4"/>
        <v>377492.33640845597</v>
      </c>
      <c r="S11" s="176">
        <f t="shared" si="5"/>
        <v>94373.084310649661</v>
      </c>
      <c r="T11" s="176">
        <f t="shared" si="1"/>
        <v>1259600.0000000002</v>
      </c>
      <c r="U11" s="142">
        <f t="shared" si="6"/>
        <v>47000.000000000007</v>
      </c>
    </row>
    <row r="12" spans="1:21" ht="51">
      <c r="A12" s="177">
        <v>10</v>
      </c>
      <c r="B12" s="180">
        <v>4</v>
      </c>
      <c r="C12" s="192" t="s">
        <v>471</v>
      </c>
      <c r="D12" s="180">
        <v>4</v>
      </c>
      <c r="E12" s="182"/>
      <c r="F12" s="217">
        <v>2</v>
      </c>
      <c r="G12" s="183">
        <v>39.6</v>
      </c>
      <c r="H12" s="184">
        <v>0</v>
      </c>
      <c r="I12" s="185">
        <f>G12</f>
        <v>39.6</v>
      </c>
      <c r="J12" s="218">
        <f>G12</f>
        <v>39.6</v>
      </c>
      <c r="K12" s="187"/>
      <c r="L12" s="188">
        <f>58.85*673/1000</f>
        <v>39.606050000000003</v>
      </c>
      <c r="M12" s="211"/>
      <c r="N12" s="214" t="s">
        <v>472</v>
      </c>
      <c r="O12" s="196"/>
      <c r="P12" s="175">
        <f t="shared" si="2"/>
        <v>39.6</v>
      </c>
      <c r="Q12" s="176">
        <f t="shared" si="3"/>
        <v>1163966.0201314711</v>
      </c>
      <c r="R12" s="176">
        <f t="shared" si="4"/>
        <v>557787.18364831561</v>
      </c>
      <c r="S12" s="176">
        <f t="shared" si="5"/>
        <v>139446.79622021367</v>
      </c>
      <c r="T12" s="176">
        <f t="shared" si="1"/>
        <v>1861200.0000000005</v>
      </c>
      <c r="U12" s="142">
        <f t="shared" si="6"/>
        <v>47000.000000000007</v>
      </c>
    </row>
    <row r="13" spans="1:21">
      <c r="A13" s="177"/>
      <c r="B13" s="180"/>
      <c r="C13" s="219" t="s">
        <v>473</v>
      </c>
      <c r="D13" s="220">
        <f>SUM(D14:D14)</f>
        <v>6</v>
      </c>
      <c r="E13" s="220"/>
      <c r="F13" s="220">
        <f t="shared" ref="F13:K13" si="7">SUM(F14:F14)</f>
        <v>3</v>
      </c>
      <c r="G13" s="221">
        <f t="shared" si="7"/>
        <v>49.79</v>
      </c>
      <c r="H13" s="221">
        <f t="shared" si="7"/>
        <v>0</v>
      </c>
      <c r="I13" s="222">
        <f t="shared" si="7"/>
        <v>49.79</v>
      </c>
      <c r="J13" s="220">
        <f t="shared" si="7"/>
        <v>49.79</v>
      </c>
      <c r="K13" s="220">
        <f t="shared" si="7"/>
        <v>49.79</v>
      </c>
      <c r="L13" s="188"/>
      <c r="M13" s="223"/>
      <c r="N13" s="224" t="s">
        <v>474</v>
      </c>
      <c r="O13" s="225"/>
      <c r="P13" s="175">
        <f t="shared" si="2"/>
        <v>49.79</v>
      </c>
      <c r="Q13" s="176">
        <f t="shared" si="3"/>
        <v>1463481.5187461097</v>
      </c>
      <c r="R13" s="176">
        <f t="shared" si="4"/>
        <v>701318.78469317255</v>
      </c>
      <c r="S13" s="176">
        <f t="shared" si="5"/>
        <v>175329.69656071815</v>
      </c>
      <c r="T13" s="176">
        <f t="shared" si="1"/>
        <v>2340130.0000000005</v>
      </c>
      <c r="U13" s="142">
        <f t="shared" si="6"/>
        <v>47000.000000000007</v>
      </c>
    </row>
    <row r="14" spans="1:21" ht="55.15" customHeight="1">
      <c r="A14" s="177">
        <v>2</v>
      </c>
      <c r="B14" s="180">
        <v>2</v>
      </c>
      <c r="C14" s="229" t="s">
        <v>477</v>
      </c>
      <c r="D14" s="180">
        <v>6</v>
      </c>
      <c r="E14" s="182"/>
      <c r="F14" s="212">
        <v>3</v>
      </c>
      <c r="G14" s="183">
        <v>49.79</v>
      </c>
      <c r="H14" s="184">
        <v>0</v>
      </c>
      <c r="I14" s="185">
        <f>G14</f>
        <v>49.79</v>
      </c>
      <c r="J14" s="213">
        <f>G14</f>
        <v>49.79</v>
      </c>
      <c r="K14" s="187">
        <v>49.79</v>
      </c>
      <c r="L14" s="188">
        <v>49.8</v>
      </c>
      <c r="M14" s="230" t="s">
        <v>478</v>
      </c>
      <c r="N14" s="214" t="s">
        <v>478</v>
      </c>
      <c r="O14" s="196"/>
      <c r="P14" s="175">
        <f t="shared" si="2"/>
        <v>49.79</v>
      </c>
      <c r="Q14" s="176">
        <f t="shared" si="3"/>
        <v>1463481.5187461097</v>
      </c>
      <c r="R14" s="176">
        <f t="shared" si="4"/>
        <v>701318.78469317255</v>
      </c>
      <c r="S14" s="176">
        <f t="shared" si="5"/>
        <v>175329.69656071815</v>
      </c>
      <c r="T14" s="176">
        <f t="shared" si="1"/>
        <v>2340130.0000000005</v>
      </c>
      <c r="U14" s="142">
        <f t="shared" si="6"/>
        <v>47000.000000000007</v>
      </c>
    </row>
    <row r="15" spans="1:21" s="414" customFormat="1">
      <c r="A15" s="416"/>
      <c r="B15" s="346"/>
      <c r="C15" s="219" t="s">
        <v>504</v>
      </c>
      <c r="D15" s="419">
        <f>SUM(D16:D19)</f>
        <v>6</v>
      </c>
      <c r="E15" s="419"/>
      <c r="F15" s="419">
        <f t="shared" ref="F15:K15" si="8">SUM(F16:F19)</f>
        <v>6</v>
      </c>
      <c r="G15" s="418">
        <f t="shared" si="8"/>
        <v>99.8</v>
      </c>
      <c r="H15" s="418">
        <f t="shared" si="8"/>
        <v>0</v>
      </c>
      <c r="I15" s="418">
        <f t="shared" si="8"/>
        <v>99.8</v>
      </c>
      <c r="J15" s="419">
        <f t="shared" si="8"/>
        <v>45.35</v>
      </c>
      <c r="K15" s="419">
        <f t="shared" si="8"/>
        <v>54.45</v>
      </c>
      <c r="L15" s="188"/>
      <c r="M15" s="420"/>
      <c r="N15" s="421" t="s">
        <v>505</v>
      </c>
      <c r="O15" s="421"/>
      <c r="P15" s="425">
        <f t="shared" si="2"/>
        <v>99.8</v>
      </c>
      <c r="Q15" s="422">
        <f t="shared" ref="Q15:Q30" si="9">Q14/P14*P15</f>
        <v>2933429.5153818387</v>
      </c>
      <c r="R15" s="422">
        <f t="shared" ref="R15:R30" si="10">R14/P14*P15</f>
        <v>1405736.3870732803</v>
      </c>
      <c r="S15" s="422">
        <f t="shared" ref="S15:S30" si="11">S14/P14*P15</f>
        <v>351434.09754488192</v>
      </c>
      <c r="T15" s="422">
        <f t="shared" si="1"/>
        <v>4690600.0000000009</v>
      </c>
      <c r="U15" s="414">
        <f t="shared" si="6"/>
        <v>47000.000000000007</v>
      </c>
    </row>
    <row r="16" spans="1:21">
      <c r="A16" s="177">
        <v>1</v>
      </c>
      <c r="B16" s="180">
        <v>1</v>
      </c>
      <c r="C16" s="192" t="s">
        <v>506</v>
      </c>
      <c r="D16" s="180">
        <v>1</v>
      </c>
      <c r="E16" s="182"/>
      <c r="F16" s="217">
        <v>1</v>
      </c>
      <c r="G16" s="183">
        <v>13.72</v>
      </c>
      <c r="H16" s="184">
        <v>0</v>
      </c>
      <c r="I16" s="185">
        <v>13.72</v>
      </c>
      <c r="J16" s="239">
        <v>13.72</v>
      </c>
      <c r="K16" s="187"/>
      <c r="L16" s="188">
        <f>54.82*1/4</f>
        <v>13.705</v>
      </c>
      <c r="M16" s="189"/>
      <c r="N16" s="190" t="s">
        <v>507</v>
      </c>
      <c r="O16" s="196"/>
      <c r="P16" s="175">
        <f t="shared" si="2"/>
        <v>13.72</v>
      </c>
      <c r="Q16" s="176">
        <f t="shared" si="9"/>
        <v>403273.07566171174</v>
      </c>
      <c r="R16" s="176">
        <f t="shared" si="10"/>
        <v>193253.53938522452</v>
      </c>
      <c r="S16" s="176">
        <f t="shared" si="11"/>
        <v>48313.384953063927</v>
      </c>
      <c r="T16" s="176">
        <f t="shared" si="1"/>
        <v>644840.00000000023</v>
      </c>
      <c r="U16" s="142">
        <f t="shared" si="6"/>
        <v>47000.000000000015</v>
      </c>
    </row>
    <row r="17" spans="1:21" ht="25.5">
      <c r="A17" s="177">
        <v>4</v>
      </c>
      <c r="B17" s="180">
        <v>3</v>
      </c>
      <c r="C17" s="192" t="s">
        <v>513</v>
      </c>
      <c r="D17" s="180">
        <v>2</v>
      </c>
      <c r="E17" s="232"/>
      <c r="F17" s="233">
        <v>3</v>
      </c>
      <c r="G17" s="234">
        <v>54.45</v>
      </c>
      <c r="H17" s="184">
        <v>0</v>
      </c>
      <c r="I17" s="185">
        <v>54.45</v>
      </c>
      <c r="J17" s="216"/>
      <c r="K17" s="187">
        <v>54.45</v>
      </c>
      <c r="L17" s="188">
        <f>54.45</f>
        <v>54.45</v>
      </c>
      <c r="M17" s="211"/>
      <c r="N17" s="190" t="s">
        <v>514</v>
      </c>
      <c r="O17" s="191"/>
      <c r="P17" s="175">
        <f t="shared" si="2"/>
        <v>54.45</v>
      </c>
      <c r="Q17" s="176">
        <f t="shared" si="9"/>
        <v>1600453.2776807728</v>
      </c>
      <c r="R17" s="176">
        <f t="shared" si="10"/>
        <v>766957.37751643406</v>
      </c>
      <c r="S17" s="176">
        <f t="shared" si="11"/>
        <v>191739.34480279381</v>
      </c>
      <c r="T17" s="176">
        <f t="shared" si="1"/>
        <v>2559150.0000000009</v>
      </c>
      <c r="U17" s="142">
        <f t="shared" si="6"/>
        <v>47000.000000000015</v>
      </c>
    </row>
    <row r="18" spans="1:21">
      <c r="A18" s="177">
        <v>5</v>
      </c>
      <c r="B18" s="180">
        <v>4</v>
      </c>
      <c r="C18" s="192" t="s">
        <v>515</v>
      </c>
      <c r="D18" s="180">
        <v>1</v>
      </c>
      <c r="E18" s="182"/>
      <c r="F18" s="217">
        <v>1</v>
      </c>
      <c r="G18" s="183">
        <v>12.33</v>
      </c>
      <c r="H18" s="184">
        <v>0</v>
      </c>
      <c r="I18" s="185">
        <v>12.33</v>
      </c>
      <c r="J18" s="218">
        <f>G18</f>
        <v>12.33</v>
      </c>
      <c r="K18" s="187"/>
      <c r="L18" s="188">
        <f>53.61*23/100</f>
        <v>12.330299999999999</v>
      </c>
      <c r="M18" s="189"/>
      <c r="N18" s="214" t="s">
        <v>516</v>
      </c>
      <c r="O18" s="196"/>
      <c r="P18" s="175">
        <f t="shared" si="2"/>
        <v>12.33</v>
      </c>
      <c r="Q18" s="176">
        <f t="shared" si="9"/>
        <v>362416.69263184443</v>
      </c>
      <c r="R18" s="176">
        <f t="shared" si="10"/>
        <v>173674.64581777103</v>
      </c>
      <c r="S18" s="176">
        <f t="shared" si="11"/>
        <v>43418.661550384713</v>
      </c>
      <c r="T18" s="176">
        <f t="shared" si="1"/>
        <v>579510.00000000023</v>
      </c>
      <c r="U18" s="142">
        <f t="shared" si="6"/>
        <v>47000.000000000022</v>
      </c>
    </row>
    <row r="19" spans="1:21">
      <c r="A19" s="177">
        <v>7</v>
      </c>
      <c r="B19" s="180">
        <v>4</v>
      </c>
      <c r="C19" s="192" t="s">
        <v>519</v>
      </c>
      <c r="D19" s="180">
        <v>2</v>
      </c>
      <c r="E19" s="182"/>
      <c r="F19" s="217">
        <v>1</v>
      </c>
      <c r="G19" s="183">
        <v>19.3</v>
      </c>
      <c r="H19" s="184">
        <v>0</v>
      </c>
      <c r="I19" s="185">
        <v>19.3</v>
      </c>
      <c r="J19" s="213">
        <f>G19</f>
        <v>19.3</v>
      </c>
      <c r="K19" s="187"/>
      <c r="L19" s="188">
        <f>53.61*360/1000</f>
        <v>19.299599999999998</v>
      </c>
      <c r="M19" s="189"/>
      <c r="N19" s="190" t="s">
        <v>520</v>
      </c>
      <c r="O19" s="196"/>
      <c r="P19" s="175">
        <f t="shared" si="2"/>
        <v>19.3</v>
      </c>
      <c r="Q19" s="176">
        <f t="shared" si="9"/>
        <v>567286.4694075099</v>
      </c>
      <c r="R19" s="176">
        <f t="shared" si="10"/>
        <v>271850.82435385085</v>
      </c>
      <c r="S19" s="176">
        <f t="shared" si="11"/>
        <v>67962.706238639497</v>
      </c>
      <c r="T19" s="176">
        <f t="shared" si="1"/>
        <v>907100.00000000023</v>
      </c>
      <c r="U19" s="142">
        <f t="shared" si="6"/>
        <v>47000.000000000007</v>
      </c>
    </row>
    <row r="20" spans="1:21" s="414" customFormat="1">
      <c r="A20" s="416"/>
      <c r="B20" s="346"/>
      <c r="C20" s="219" t="s">
        <v>521</v>
      </c>
      <c r="D20" s="419">
        <f>SUM(D21:D22)</f>
        <v>2</v>
      </c>
      <c r="E20" s="419"/>
      <c r="F20" s="419">
        <f t="shared" ref="F20:K20" si="12">SUM(F21:F22)</f>
        <v>3</v>
      </c>
      <c r="G20" s="418">
        <f t="shared" si="12"/>
        <v>51.83</v>
      </c>
      <c r="H20" s="418">
        <f t="shared" si="12"/>
        <v>0</v>
      </c>
      <c r="I20" s="418">
        <f t="shared" si="12"/>
        <v>51.83</v>
      </c>
      <c r="J20" s="419">
        <f t="shared" si="12"/>
        <v>51.83</v>
      </c>
      <c r="K20" s="254">
        <f t="shared" si="12"/>
        <v>0</v>
      </c>
      <c r="L20" s="188"/>
      <c r="M20" s="420"/>
      <c r="N20" s="421"/>
      <c r="O20" s="421"/>
      <c r="P20" s="425">
        <f t="shared" si="2"/>
        <v>51.83</v>
      </c>
      <c r="Q20" s="422">
        <f t="shared" si="9"/>
        <v>1523443.4046316701</v>
      </c>
      <c r="R20" s="422">
        <f t="shared" si="10"/>
        <v>730053.27597202535</v>
      </c>
      <c r="S20" s="422">
        <f t="shared" si="11"/>
        <v>182513.31939630493</v>
      </c>
      <c r="T20" s="422">
        <f t="shared" si="1"/>
        <v>2436010.0000000005</v>
      </c>
      <c r="U20" s="414">
        <f t="shared" si="6"/>
        <v>47000.000000000007</v>
      </c>
    </row>
    <row r="21" spans="1:21">
      <c r="A21" s="177">
        <v>3</v>
      </c>
      <c r="B21" s="180">
        <v>2</v>
      </c>
      <c r="C21" s="192" t="s">
        <v>526</v>
      </c>
      <c r="D21" s="180">
        <v>0</v>
      </c>
      <c r="E21" s="182"/>
      <c r="F21" s="217">
        <v>1</v>
      </c>
      <c r="G21" s="183">
        <v>22.23</v>
      </c>
      <c r="H21" s="184">
        <v>0</v>
      </c>
      <c r="I21" s="185">
        <v>22.23</v>
      </c>
      <c r="J21" s="213">
        <f>G21</f>
        <v>22.23</v>
      </c>
      <c r="K21" s="187"/>
      <c r="L21" s="188">
        <f>62.8*354/1000</f>
        <v>22.231200000000001</v>
      </c>
      <c r="M21" s="189"/>
      <c r="N21" s="214" t="s">
        <v>527</v>
      </c>
      <c r="O21" s="196"/>
      <c r="P21" s="175">
        <f t="shared" si="2"/>
        <v>22.23</v>
      </c>
      <c r="Q21" s="176">
        <f t="shared" si="9"/>
        <v>653408.19766471209</v>
      </c>
      <c r="R21" s="176">
        <f t="shared" si="10"/>
        <v>313121.44172984996</v>
      </c>
      <c r="S21" s="176">
        <f t="shared" si="11"/>
        <v>78280.360605438138</v>
      </c>
      <c r="T21" s="176">
        <f t="shared" si="1"/>
        <v>1044810.0000000001</v>
      </c>
      <c r="U21" s="142">
        <f t="shared" si="6"/>
        <v>47000.000000000007</v>
      </c>
    </row>
    <row r="22" spans="1:21" ht="25.15" customHeight="1">
      <c r="A22" s="177">
        <v>5</v>
      </c>
      <c r="B22" s="180">
        <v>3</v>
      </c>
      <c r="C22" s="192" t="s">
        <v>529</v>
      </c>
      <c r="D22" s="180">
        <v>2</v>
      </c>
      <c r="E22" s="182"/>
      <c r="F22" s="217">
        <v>2</v>
      </c>
      <c r="G22" s="183">
        <v>29.6</v>
      </c>
      <c r="H22" s="184">
        <v>0</v>
      </c>
      <c r="I22" s="185">
        <v>29.6</v>
      </c>
      <c r="J22" s="213">
        <f>G22</f>
        <v>29.6</v>
      </c>
      <c r="K22" s="187"/>
      <c r="L22" s="188">
        <f>76.09*389/1000</f>
        <v>29.599010000000003</v>
      </c>
      <c r="M22" s="211"/>
      <c r="N22" s="190" t="s">
        <v>530</v>
      </c>
      <c r="O22" s="196"/>
      <c r="P22" s="175">
        <f t="shared" si="2"/>
        <v>29.6</v>
      </c>
      <c r="Q22" s="176">
        <f t="shared" si="9"/>
        <v>870035.20696695801</v>
      </c>
      <c r="R22" s="176">
        <f t="shared" si="10"/>
        <v>416931.83424217539</v>
      </c>
      <c r="S22" s="176">
        <f t="shared" si="11"/>
        <v>104232.9587908668</v>
      </c>
      <c r="T22" s="176">
        <f t="shared" si="1"/>
        <v>1391200.0000000002</v>
      </c>
      <c r="U22" s="142">
        <f t="shared" si="6"/>
        <v>47000.000000000007</v>
      </c>
    </row>
    <row r="23" spans="1:21" s="414" customFormat="1">
      <c r="A23" s="416"/>
      <c r="B23" s="346"/>
      <c r="C23" s="219" t="s">
        <v>533</v>
      </c>
      <c r="D23" s="419">
        <f>SUM(D24:D24)</f>
        <v>0</v>
      </c>
      <c r="E23" s="419"/>
      <c r="F23" s="419">
        <f>SUM(F24:F24)</f>
        <v>1</v>
      </c>
      <c r="G23" s="418">
        <f>SUM(G24:G24)</f>
        <v>16.71</v>
      </c>
      <c r="H23" s="418">
        <f>SUM(H24:H24)</f>
        <v>0</v>
      </c>
      <c r="I23" s="418">
        <f>SUM(I24:I24)</f>
        <v>16.71</v>
      </c>
      <c r="J23" s="419">
        <f>SUM(J24:J24)</f>
        <v>16.71</v>
      </c>
      <c r="K23" s="419">
        <f>G23</f>
        <v>16.71</v>
      </c>
      <c r="L23" s="188"/>
      <c r="M23" s="420"/>
      <c r="N23" s="421" t="s">
        <v>534</v>
      </c>
      <c r="O23" s="421"/>
      <c r="P23" s="425">
        <f t="shared" si="2"/>
        <v>16.71</v>
      </c>
      <c r="Q23" s="422">
        <f t="shared" si="9"/>
        <v>491158.38879790099</v>
      </c>
      <c r="R23" s="422">
        <f t="shared" si="10"/>
        <v>235369.28885766049</v>
      </c>
      <c r="S23" s="422">
        <f t="shared" si="11"/>
        <v>58842.32234443866</v>
      </c>
      <c r="T23" s="422">
        <f t="shared" si="1"/>
        <v>785370.00000000012</v>
      </c>
      <c r="U23" s="414">
        <f t="shared" si="6"/>
        <v>47000.000000000007</v>
      </c>
    </row>
    <row r="24" spans="1:21">
      <c r="A24" s="177">
        <v>2</v>
      </c>
      <c r="B24" s="180">
        <v>2</v>
      </c>
      <c r="C24" s="192" t="s">
        <v>537</v>
      </c>
      <c r="D24" s="180">
        <v>0</v>
      </c>
      <c r="E24" s="182"/>
      <c r="F24" s="217">
        <v>1</v>
      </c>
      <c r="G24" s="183">
        <f>H24+I24</f>
        <v>16.71</v>
      </c>
      <c r="H24" s="184">
        <v>0</v>
      </c>
      <c r="I24" s="245">
        <v>16.71</v>
      </c>
      <c r="J24" s="239">
        <f>G24</f>
        <v>16.71</v>
      </c>
      <c r="K24" s="180"/>
      <c r="L24" s="236">
        <v>16.5</v>
      </c>
      <c r="M24" s="211"/>
      <c r="N24" s="214" t="s">
        <v>538</v>
      </c>
      <c r="O24" s="196"/>
      <c r="P24" s="175">
        <f t="shared" si="2"/>
        <v>16.71</v>
      </c>
      <c r="Q24" s="176">
        <f t="shared" si="9"/>
        <v>491158.38879790099</v>
      </c>
      <c r="R24" s="176">
        <f t="shared" si="10"/>
        <v>235369.28885766049</v>
      </c>
      <c r="S24" s="176">
        <f t="shared" si="11"/>
        <v>58842.32234443866</v>
      </c>
      <c r="T24" s="176">
        <f t="shared" si="1"/>
        <v>785370.00000000012</v>
      </c>
      <c r="U24" s="142">
        <f t="shared" si="6"/>
        <v>47000.000000000007</v>
      </c>
    </row>
    <row r="25" spans="1:21" s="414" customFormat="1">
      <c r="A25" s="416"/>
      <c r="B25" s="346"/>
      <c r="C25" s="219" t="s">
        <v>541</v>
      </c>
      <c r="D25" s="417">
        <f>SUM(D26:D30)</f>
        <v>13</v>
      </c>
      <c r="E25" s="417"/>
      <c r="F25" s="417">
        <f>SUM(F26:F30)</f>
        <v>11</v>
      </c>
      <c r="G25" s="418">
        <f>SUM(G26:G30)</f>
        <v>219.42000000000002</v>
      </c>
      <c r="H25" s="418">
        <f>SUM(H26:H30)</f>
        <v>0</v>
      </c>
      <c r="I25" s="418">
        <f>SUM(I26:I30)</f>
        <v>219.42000000000002</v>
      </c>
      <c r="J25" s="254">
        <f>SUM(J29:J30)</f>
        <v>133.19</v>
      </c>
      <c r="K25" s="419">
        <f>G25</f>
        <v>219.42000000000002</v>
      </c>
      <c r="L25" s="188"/>
      <c r="M25" s="420"/>
      <c r="N25" s="421" t="s">
        <v>542</v>
      </c>
      <c r="O25" s="421"/>
      <c r="P25" s="425">
        <f t="shared" si="2"/>
        <v>219.42000000000002</v>
      </c>
      <c r="Q25" s="422">
        <f t="shared" si="9"/>
        <v>6449429.9024557415</v>
      </c>
      <c r="R25" s="422">
        <f t="shared" si="10"/>
        <v>3090648.0766695309</v>
      </c>
      <c r="S25" s="422">
        <f t="shared" si="11"/>
        <v>772662.0208747295</v>
      </c>
      <c r="T25" s="422">
        <f t="shared" si="1"/>
        <v>10312740.000000002</v>
      </c>
      <c r="U25" s="414">
        <f t="shared" si="6"/>
        <v>47000.000000000007</v>
      </c>
    </row>
    <row r="26" spans="1:21" ht="28.9" customHeight="1">
      <c r="A26" s="177">
        <v>2</v>
      </c>
      <c r="B26" s="402"/>
      <c r="C26" s="192" t="s">
        <v>544</v>
      </c>
      <c r="D26" s="180">
        <v>2</v>
      </c>
      <c r="E26" s="182"/>
      <c r="F26" s="217">
        <v>1</v>
      </c>
      <c r="G26" s="183">
        <v>26.49</v>
      </c>
      <c r="H26" s="184">
        <v>0</v>
      </c>
      <c r="I26" s="185">
        <v>26.49</v>
      </c>
      <c r="J26" s="218">
        <f>G26</f>
        <v>26.49</v>
      </c>
      <c r="K26" s="180">
        <f>G26</f>
        <v>26.49</v>
      </c>
      <c r="L26" s="188">
        <f>73.99*358/1000</f>
        <v>26.488419999999998</v>
      </c>
      <c r="M26" s="211" t="s">
        <v>545</v>
      </c>
      <c r="N26" s="214" t="s">
        <v>546</v>
      </c>
      <c r="O26" s="196"/>
      <c r="P26" s="175">
        <f t="shared" si="2"/>
        <v>26.49</v>
      </c>
      <c r="Q26" s="176">
        <f t="shared" si="9"/>
        <v>778622.72407279443</v>
      </c>
      <c r="R26" s="176">
        <f t="shared" si="10"/>
        <v>373125.82057686563</v>
      </c>
      <c r="S26" s="176">
        <f t="shared" si="11"/>
        <v>93281.455350339907</v>
      </c>
      <c r="T26" s="176">
        <f t="shared" si="1"/>
        <v>1245030</v>
      </c>
      <c r="U26" s="142">
        <f t="shared" ref="U26:U31" si="13">T26/P26</f>
        <v>47000</v>
      </c>
    </row>
    <row r="27" spans="1:21" ht="51">
      <c r="A27" s="177" t="e">
        <f>#REF!+1</f>
        <v>#REF!</v>
      </c>
      <c r="B27" s="611">
        <v>2</v>
      </c>
      <c r="C27" s="192" t="s">
        <v>549</v>
      </c>
      <c r="D27" s="180">
        <v>2</v>
      </c>
      <c r="E27" s="182"/>
      <c r="F27" s="217">
        <v>2</v>
      </c>
      <c r="G27" s="183">
        <v>39.700000000000003</v>
      </c>
      <c r="H27" s="184">
        <v>0</v>
      </c>
      <c r="I27" s="185">
        <v>39.700000000000003</v>
      </c>
      <c r="J27" s="247">
        <f>G27</f>
        <v>39.700000000000003</v>
      </c>
      <c r="K27" s="180"/>
      <c r="L27" s="188">
        <f>59.83*6650/10000</f>
        <v>39.786949999999997</v>
      </c>
      <c r="M27" s="230" t="s">
        <v>550</v>
      </c>
      <c r="N27" s="214" t="s">
        <v>551</v>
      </c>
      <c r="O27" s="196"/>
      <c r="P27" s="175">
        <f t="shared" si="2"/>
        <v>39.700000000000003</v>
      </c>
      <c r="Q27" s="176">
        <f t="shared" si="9"/>
        <v>1166905.3282631161</v>
      </c>
      <c r="R27" s="176">
        <f t="shared" si="10"/>
        <v>559195.73714237707</v>
      </c>
      <c r="S27" s="176">
        <f t="shared" si="11"/>
        <v>139798.93459450715</v>
      </c>
      <c r="T27" s="176">
        <f t="shared" si="1"/>
        <v>1865900.0000000002</v>
      </c>
      <c r="U27" s="142">
        <f t="shared" si="13"/>
        <v>47000</v>
      </c>
    </row>
    <row r="28" spans="1:21" ht="51">
      <c r="A28" s="177" t="e">
        <f>A27+1</f>
        <v>#REF!</v>
      </c>
      <c r="B28" s="612"/>
      <c r="C28" s="192" t="s">
        <v>552</v>
      </c>
      <c r="D28" s="180">
        <v>1</v>
      </c>
      <c r="E28" s="182" t="s">
        <v>449</v>
      </c>
      <c r="F28" s="182">
        <v>1</v>
      </c>
      <c r="G28" s="183">
        <v>20.04</v>
      </c>
      <c r="H28" s="184">
        <v>0</v>
      </c>
      <c r="I28" s="185">
        <v>20.04</v>
      </c>
      <c r="J28" s="187"/>
      <c r="K28" s="180">
        <f>G28</f>
        <v>20.04</v>
      </c>
      <c r="L28" s="188">
        <f>59.83*335/1000</f>
        <v>20.043050000000001</v>
      </c>
      <c r="M28" s="230" t="s">
        <v>553</v>
      </c>
      <c r="N28" s="190" t="s">
        <v>554</v>
      </c>
      <c r="O28" s="194" t="s">
        <v>555</v>
      </c>
      <c r="P28" s="175">
        <f t="shared" si="2"/>
        <v>20.04</v>
      </c>
      <c r="Q28" s="176">
        <f t="shared" si="9"/>
        <v>589037.34958168375</v>
      </c>
      <c r="R28" s="176">
        <f t="shared" si="10"/>
        <v>282274.12020990514</v>
      </c>
      <c r="S28" s="176">
        <f t="shared" si="11"/>
        <v>70568.530208411161</v>
      </c>
      <c r="T28" s="176">
        <f t="shared" si="1"/>
        <v>941880</v>
      </c>
      <c r="U28" s="142">
        <f t="shared" si="13"/>
        <v>47000</v>
      </c>
    </row>
    <row r="29" spans="1:21" ht="63.75">
      <c r="A29" s="177" t="e">
        <f>A28+1</f>
        <v>#REF!</v>
      </c>
      <c r="B29" s="220">
        <v>3</v>
      </c>
      <c r="C29" s="192" t="s">
        <v>556</v>
      </c>
      <c r="D29" s="180">
        <v>5</v>
      </c>
      <c r="E29" s="182"/>
      <c r="F29" s="217">
        <v>4</v>
      </c>
      <c r="G29" s="183">
        <v>73.95</v>
      </c>
      <c r="H29" s="184">
        <v>0</v>
      </c>
      <c r="I29" s="185">
        <v>73.95</v>
      </c>
      <c r="J29" s="249">
        <v>73.95</v>
      </c>
      <c r="K29" s="180"/>
      <c r="L29" s="188">
        <v>73.95</v>
      </c>
      <c r="M29" s="211" t="s">
        <v>557</v>
      </c>
      <c r="N29" s="190" t="s">
        <v>558</v>
      </c>
      <c r="O29" s="196"/>
      <c r="P29" s="175">
        <f t="shared" si="2"/>
        <v>73.95</v>
      </c>
      <c r="Q29" s="176">
        <f t="shared" si="9"/>
        <v>2173618.3633515728</v>
      </c>
      <c r="R29" s="176">
        <f t="shared" si="10"/>
        <v>1041625.3088584075</v>
      </c>
      <c r="S29" s="176">
        <f t="shared" si="11"/>
        <v>260406.32779002024</v>
      </c>
      <c r="T29" s="176">
        <f t="shared" si="1"/>
        <v>3475650.0000000005</v>
      </c>
      <c r="U29" s="142">
        <f t="shared" si="13"/>
        <v>47000.000000000007</v>
      </c>
    </row>
    <row r="30" spans="1:21">
      <c r="A30" s="177" t="e">
        <f>A29+1</f>
        <v>#REF!</v>
      </c>
      <c r="B30" s="220">
        <v>4</v>
      </c>
      <c r="C30" s="192" t="s">
        <v>559</v>
      </c>
      <c r="D30" s="180">
        <v>3</v>
      </c>
      <c r="E30" s="182"/>
      <c r="F30" s="217">
        <v>3</v>
      </c>
      <c r="G30" s="183">
        <v>59.24</v>
      </c>
      <c r="H30" s="184">
        <v>0</v>
      </c>
      <c r="I30" s="185">
        <v>59.24</v>
      </c>
      <c r="J30" s="249">
        <v>59.24</v>
      </c>
      <c r="K30" s="180"/>
      <c r="L30" s="188">
        <v>59.24</v>
      </c>
      <c r="M30" s="189"/>
      <c r="N30" s="190" t="s">
        <v>560</v>
      </c>
      <c r="O30" s="196"/>
      <c r="P30" s="175">
        <f t="shared" si="2"/>
        <v>59.24</v>
      </c>
      <c r="Q30" s="176">
        <f t="shared" si="9"/>
        <v>1741246.1371865743</v>
      </c>
      <c r="R30" s="176">
        <f t="shared" si="10"/>
        <v>834427.0898819752</v>
      </c>
      <c r="S30" s="176">
        <f t="shared" si="11"/>
        <v>208606.77293145095</v>
      </c>
      <c r="T30" s="176">
        <f t="shared" si="1"/>
        <v>2784280.0000000005</v>
      </c>
      <c r="U30" s="142">
        <f t="shared" si="13"/>
        <v>47000.000000000007</v>
      </c>
    </row>
    <row r="31" spans="1:21" ht="22.15" customHeight="1">
      <c r="A31" s="177" t="e">
        <f>A12+#REF!+#REF!+A19+#REF!+#REF!+A30</f>
        <v>#REF!</v>
      </c>
      <c r="B31" s="180"/>
      <c r="C31" s="179" t="s">
        <v>532</v>
      </c>
      <c r="D31" s="250">
        <f>D25+D23+D20+D15+D13+D7</f>
        <v>40</v>
      </c>
      <c r="E31" s="250"/>
      <c r="F31" s="250" t="e">
        <f>F25+F23+F20+F15+#REF!+F13+F7</f>
        <v>#REF!</v>
      </c>
      <c r="G31" s="184">
        <f>G25+G23+G20+G15+G13+G7</f>
        <v>569.22</v>
      </c>
      <c r="H31" s="184">
        <f>H25+H23+H20+H15++H13+H7</f>
        <v>0</v>
      </c>
      <c r="I31" s="184">
        <f>I25+I23+I20+I15++I13+I7</f>
        <v>569.22</v>
      </c>
      <c r="J31" s="184">
        <f>J25+J23+J20+J15++J13+J7</f>
        <v>365.84000000000003</v>
      </c>
      <c r="K31" s="184">
        <f>K25+K23+K20+K15++K13+K7</f>
        <v>403.07000000000005</v>
      </c>
      <c r="L31" s="188"/>
      <c r="M31" s="187"/>
      <c r="N31" s="190"/>
      <c r="O31" s="196"/>
      <c r="P31" s="432">
        <f>P25+P23+P20+P15+P13+P7</f>
        <v>569.22</v>
      </c>
      <c r="Q31" s="432">
        <f>Q25+Q23+Q20+Q15+Q13+Q7</f>
        <v>16731129.746950403</v>
      </c>
      <c r="R31" s="432">
        <f>R25+R23+R20+R15+R13+R7</f>
        <v>8017768.1988963187</v>
      </c>
      <c r="S31" s="432">
        <f>S25+S23+S20+S15+S13+S7</f>
        <v>2004442.0541532834</v>
      </c>
      <c r="T31" s="432">
        <f>T25+T23+T20+T15+T13+T7</f>
        <v>26753340.000000004</v>
      </c>
      <c r="U31" s="142">
        <f t="shared" si="13"/>
        <v>47000.000000000007</v>
      </c>
    </row>
    <row r="32" spans="1:21">
      <c r="A32" s="177"/>
      <c r="B32" s="180"/>
      <c r="C32" s="179"/>
      <c r="D32" s="180"/>
      <c r="E32" s="182"/>
      <c r="F32" s="182"/>
      <c r="G32" s="252"/>
      <c r="H32" s="187"/>
      <c r="I32" s="253"/>
      <c r="J32" s="187"/>
      <c r="K32" s="187"/>
      <c r="L32" s="254"/>
      <c r="M32" s="187"/>
      <c r="N32" s="190"/>
      <c r="O32" s="255"/>
    </row>
    <row r="33" spans="1:25">
      <c r="A33" s="632" t="s">
        <v>561</v>
      </c>
      <c r="B33" s="633"/>
      <c r="C33" s="633"/>
      <c r="D33" s="633"/>
      <c r="E33" s="633"/>
      <c r="F33" s="633"/>
      <c r="G33" s="633"/>
      <c r="H33" s="633"/>
      <c r="I33" s="633"/>
      <c r="J33" s="633"/>
      <c r="K33" s="633"/>
      <c r="L33" s="633"/>
      <c r="M33" s="633"/>
      <c r="N33" s="634"/>
      <c r="O33" s="256"/>
    </row>
    <row r="34" spans="1:25">
      <c r="A34" s="635"/>
      <c r="B34" s="636"/>
      <c r="C34" s="636"/>
      <c r="D34" s="636"/>
      <c r="E34" s="636"/>
      <c r="F34" s="636"/>
      <c r="G34" s="636"/>
      <c r="H34" s="636"/>
      <c r="I34" s="636"/>
      <c r="J34" s="636"/>
      <c r="K34" s="636"/>
      <c r="L34" s="636"/>
      <c r="M34" s="636"/>
      <c r="N34" s="637"/>
      <c r="O34" s="256"/>
    </row>
    <row r="35" spans="1:25">
      <c r="A35" s="635"/>
      <c r="B35" s="636"/>
      <c r="C35" s="636"/>
      <c r="D35" s="636"/>
      <c r="E35" s="636"/>
      <c r="F35" s="636"/>
      <c r="G35" s="636"/>
      <c r="H35" s="636"/>
      <c r="I35" s="636"/>
      <c r="J35" s="636"/>
      <c r="K35" s="636"/>
      <c r="L35" s="636"/>
      <c r="M35" s="636"/>
      <c r="N35" s="637"/>
      <c r="O35" s="256"/>
    </row>
    <row r="36" spans="1:25">
      <c r="A36" s="638"/>
      <c r="B36" s="639"/>
      <c r="C36" s="639"/>
      <c r="D36" s="639"/>
      <c r="E36" s="639"/>
      <c r="F36" s="639"/>
      <c r="G36" s="639"/>
      <c r="H36" s="639"/>
      <c r="I36" s="639"/>
      <c r="J36" s="639"/>
      <c r="K36" s="639"/>
      <c r="L36" s="639"/>
      <c r="M36" s="639"/>
      <c r="N36" s="640"/>
      <c r="O36" s="256"/>
    </row>
    <row r="37" spans="1:25" ht="30.6" customHeight="1">
      <c r="C37" s="257" t="s">
        <v>562</v>
      </c>
    </row>
    <row r="38" spans="1:25" ht="14.45" hidden="1" customHeight="1"/>
    <row r="39" spans="1:25" ht="14.45" hidden="1" customHeight="1"/>
    <row r="40" spans="1:25" ht="14.45" hidden="1" customHeight="1"/>
    <row r="41" spans="1:25" ht="14.45" hidden="1" customHeight="1"/>
    <row r="42" spans="1:25" ht="14.45" hidden="1" customHeight="1"/>
    <row r="43" spans="1:25" ht="14.45" hidden="1" customHeight="1"/>
    <row r="44" spans="1:25" ht="22.15" customHeight="1">
      <c r="A44" s="549" t="s">
        <v>563</v>
      </c>
      <c r="B44" s="549"/>
      <c r="C44" s="549"/>
    </row>
    <row r="46" spans="1:25" ht="14.45" hidden="1" customHeight="1">
      <c r="A46" s="641" t="s">
        <v>564</v>
      </c>
      <c r="B46" s="642"/>
      <c r="C46" s="642"/>
      <c r="D46" s="642"/>
      <c r="E46" s="642"/>
      <c r="F46" s="642"/>
      <c r="G46" s="642"/>
      <c r="H46" s="642"/>
      <c r="I46" s="642"/>
      <c r="J46" s="642"/>
      <c r="K46" s="642"/>
      <c r="L46" s="642"/>
      <c r="M46" s="642"/>
      <c r="N46" s="642"/>
      <c r="O46" s="642"/>
      <c r="P46" s="642"/>
      <c r="Q46" s="642"/>
      <c r="R46" s="642"/>
      <c r="S46" s="642"/>
      <c r="T46" s="642"/>
      <c r="U46" s="642"/>
      <c r="V46" s="642"/>
      <c r="W46" s="642"/>
      <c r="X46" s="642"/>
      <c r="Y46" s="643"/>
    </row>
    <row r="47" spans="1:25" ht="39.6" hidden="1" customHeight="1">
      <c r="A47" s="260">
        <v>208</v>
      </c>
      <c r="B47" s="644" t="s">
        <v>565</v>
      </c>
      <c r="C47" s="220">
        <v>1</v>
      </c>
      <c r="D47" s="220" t="s">
        <v>566</v>
      </c>
      <c r="E47" s="220"/>
      <c r="F47" s="180">
        <v>4</v>
      </c>
      <c r="G47" s="261">
        <v>2</v>
      </c>
      <c r="H47" s="252">
        <v>34.1</v>
      </c>
      <c r="I47" s="262">
        <v>34.1</v>
      </c>
      <c r="J47" s="252">
        <v>0</v>
      </c>
      <c r="K47" s="179" t="s">
        <v>567</v>
      </c>
      <c r="L47" s="219"/>
      <c r="M47" s="179"/>
      <c r="N47" s="263"/>
      <c r="O47" s="179"/>
      <c r="P47" s="264"/>
      <c r="Q47" s="264"/>
      <c r="R47" s="264"/>
      <c r="S47" s="264"/>
      <c r="T47" s="180"/>
      <c r="U47" s="180"/>
      <c r="V47" s="180"/>
      <c r="W47" s="265"/>
      <c r="X47" s="264"/>
      <c r="Y47" s="264"/>
    </row>
    <row r="48" spans="1:25" ht="52.9" hidden="1" customHeight="1">
      <c r="A48" s="260">
        <v>209</v>
      </c>
      <c r="B48" s="645"/>
      <c r="C48" s="220">
        <v>2</v>
      </c>
      <c r="D48" s="220" t="s">
        <v>566</v>
      </c>
      <c r="E48" s="220"/>
      <c r="F48" s="180">
        <v>0</v>
      </c>
      <c r="G48" s="182">
        <v>1</v>
      </c>
      <c r="H48" s="252">
        <v>16.71</v>
      </c>
      <c r="I48" s="262">
        <v>0</v>
      </c>
      <c r="J48" s="252">
        <v>16.71</v>
      </c>
      <c r="K48" s="179" t="s">
        <v>537</v>
      </c>
      <c r="L48" s="219"/>
      <c r="M48" s="179"/>
      <c r="N48" s="263"/>
      <c r="O48" s="179"/>
      <c r="P48" s="264"/>
      <c r="Q48" s="264"/>
      <c r="R48" s="264"/>
      <c r="S48" s="264"/>
      <c r="T48" s="180"/>
      <c r="U48" s="180"/>
      <c r="V48" s="180"/>
      <c r="W48" s="265"/>
      <c r="X48" s="264"/>
      <c r="Y48" s="264"/>
    </row>
    <row r="49" spans="1:25" ht="43.9" hidden="1" customHeight="1">
      <c r="A49" s="260">
        <v>210</v>
      </c>
      <c r="B49" s="646"/>
      <c r="C49" s="220">
        <v>3</v>
      </c>
      <c r="D49" s="220" t="s">
        <v>566</v>
      </c>
      <c r="E49" s="220"/>
      <c r="F49" s="180">
        <v>2</v>
      </c>
      <c r="G49" s="182">
        <v>2</v>
      </c>
      <c r="H49" s="252">
        <v>25.7</v>
      </c>
      <c r="I49" s="262">
        <v>25.7</v>
      </c>
      <c r="J49" s="252">
        <v>0</v>
      </c>
      <c r="K49" s="179" t="s">
        <v>539</v>
      </c>
      <c r="L49" s="219"/>
      <c r="M49" s="179"/>
      <c r="N49" s="263"/>
      <c r="O49" s="179"/>
      <c r="P49" s="264"/>
      <c r="Q49" s="264"/>
      <c r="R49" s="264"/>
      <c r="S49" s="264"/>
      <c r="T49" s="180"/>
      <c r="U49" s="180"/>
      <c r="V49" s="180"/>
      <c r="W49" s="265"/>
      <c r="X49" s="264"/>
      <c r="Y49" s="264"/>
    </row>
    <row r="50" spans="1:25" ht="14.45" hidden="1" customHeight="1">
      <c r="A50" s="266"/>
      <c r="B50" s="220" t="s">
        <v>568</v>
      </c>
      <c r="C50" s="220"/>
      <c r="D50" s="220">
        <v>3</v>
      </c>
      <c r="E50" s="220"/>
      <c r="F50" s="220">
        <f>SUM(F47:F49)</f>
        <v>6</v>
      </c>
      <c r="G50" s="220">
        <f>SUM(G47:G49)</f>
        <v>5</v>
      </c>
      <c r="H50" s="220">
        <f>SUM(H47:H49)</f>
        <v>76.510000000000005</v>
      </c>
      <c r="I50" s="267">
        <f>SUM(I47:I49)</f>
        <v>59.8</v>
      </c>
      <c r="J50" s="220">
        <f>SUM(J47:J49)</f>
        <v>16.71</v>
      </c>
      <c r="K50" s="252"/>
      <c r="L50" s="268"/>
      <c r="M50" s="252"/>
      <c r="N50" s="269"/>
      <c r="O50" s="252"/>
      <c r="P50" s="270"/>
      <c r="Q50" s="270"/>
      <c r="R50" s="270"/>
      <c r="S50" s="270"/>
      <c r="T50" s="220"/>
      <c r="U50" s="220"/>
      <c r="V50" s="220"/>
      <c r="W50" s="265"/>
      <c r="X50" s="270"/>
      <c r="Y50" s="270"/>
    </row>
    <row r="51" spans="1:25" ht="14.45" hidden="1" customHeight="1"/>
    <row r="52" spans="1:25" s="271" customFormat="1" ht="12.75" hidden="1" customHeight="1">
      <c r="A52" s="641" t="s">
        <v>569</v>
      </c>
      <c r="B52" s="642"/>
      <c r="C52" s="642"/>
      <c r="D52" s="642"/>
      <c r="E52" s="642"/>
      <c r="F52" s="642"/>
      <c r="G52" s="642"/>
      <c r="H52" s="642"/>
      <c r="I52" s="642"/>
      <c r="J52" s="642"/>
      <c r="K52" s="642"/>
      <c r="L52" s="642"/>
      <c r="M52" s="642"/>
      <c r="N52" s="642"/>
      <c r="O52" s="642"/>
      <c r="P52" s="642"/>
      <c r="Q52" s="642"/>
      <c r="R52" s="642"/>
      <c r="S52" s="642"/>
      <c r="T52" s="642"/>
      <c r="U52" s="642"/>
      <c r="V52" s="642"/>
      <c r="W52" s="642"/>
      <c r="X52" s="642"/>
      <c r="Y52" s="643"/>
    </row>
    <row r="53" spans="1:25" s="271" customFormat="1" ht="39.6" hidden="1" customHeight="1">
      <c r="A53" s="260">
        <v>60</v>
      </c>
      <c r="B53" s="629" t="s">
        <v>570</v>
      </c>
      <c r="C53" s="611">
        <v>1</v>
      </c>
      <c r="D53" s="272" t="s">
        <v>571</v>
      </c>
      <c r="E53" s="272"/>
      <c r="F53" s="180">
        <v>1</v>
      </c>
      <c r="G53" s="182">
        <v>1</v>
      </c>
      <c r="H53" s="252">
        <v>19.100000000000001</v>
      </c>
      <c r="I53" s="262">
        <v>19.100000000000001</v>
      </c>
      <c r="J53" s="252">
        <v>0</v>
      </c>
      <c r="K53" s="179" t="s">
        <v>543</v>
      </c>
      <c r="L53" s="219"/>
      <c r="M53" s="179"/>
      <c r="N53" s="263"/>
      <c r="O53" s="179"/>
      <c r="P53" s="264"/>
      <c r="Q53" s="264"/>
      <c r="R53" s="264"/>
      <c r="S53" s="264"/>
      <c r="T53" s="180"/>
      <c r="U53" s="180"/>
      <c r="V53" s="180"/>
      <c r="W53" s="265"/>
      <c r="X53" s="264"/>
      <c r="Y53" s="264"/>
    </row>
    <row r="54" spans="1:25" s="271" customFormat="1" ht="39.6" hidden="1" customHeight="1">
      <c r="A54" s="260">
        <v>61</v>
      </c>
      <c r="B54" s="630"/>
      <c r="C54" s="622"/>
      <c r="D54" s="273" t="s">
        <v>571</v>
      </c>
      <c r="E54" s="273"/>
      <c r="F54" s="180">
        <v>2</v>
      </c>
      <c r="G54" s="182">
        <v>1</v>
      </c>
      <c r="H54" s="252">
        <v>26.49</v>
      </c>
      <c r="I54" s="262">
        <v>0</v>
      </c>
      <c r="J54" s="252">
        <v>26.49</v>
      </c>
      <c r="K54" s="179" t="s">
        <v>544</v>
      </c>
      <c r="L54" s="219"/>
      <c r="M54" s="179"/>
      <c r="N54" s="263"/>
      <c r="O54" s="179"/>
      <c r="P54" s="264"/>
      <c r="Q54" s="264"/>
      <c r="R54" s="264"/>
      <c r="S54" s="264"/>
      <c r="T54" s="180"/>
      <c r="U54" s="180"/>
      <c r="V54" s="180"/>
      <c r="W54" s="265"/>
      <c r="X54" s="264"/>
      <c r="Y54" s="264"/>
    </row>
    <row r="55" spans="1:25" s="271" customFormat="1" ht="52.9" hidden="1" customHeight="1">
      <c r="A55" s="260">
        <v>62</v>
      </c>
      <c r="B55" s="630"/>
      <c r="C55" s="612"/>
      <c r="D55" s="273" t="s">
        <v>571</v>
      </c>
      <c r="E55" s="273"/>
      <c r="F55" s="180">
        <v>2</v>
      </c>
      <c r="G55" s="182">
        <v>1</v>
      </c>
      <c r="H55" s="252">
        <v>26.5</v>
      </c>
      <c r="I55" s="262">
        <v>26.5</v>
      </c>
      <c r="J55" s="252">
        <v>0</v>
      </c>
      <c r="K55" s="179" t="s">
        <v>547</v>
      </c>
      <c r="L55" s="219"/>
      <c r="M55" s="179"/>
      <c r="N55" s="263"/>
      <c r="O55" s="179"/>
      <c r="P55" s="264"/>
      <c r="Q55" s="264"/>
      <c r="R55" s="264"/>
      <c r="S55" s="264"/>
      <c r="T55" s="180"/>
      <c r="U55" s="180"/>
      <c r="V55" s="180"/>
      <c r="W55" s="265"/>
      <c r="X55" s="264"/>
      <c r="Y55" s="264"/>
    </row>
    <row r="56" spans="1:25" s="271" customFormat="1" ht="171.6" hidden="1" customHeight="1">
      <c r="A56" s="260">
        <v>63</v>
      </c>
      <c r="B56" s="630"/>
      <c r="C56" s="611">
        <v>2</v>
      </c>
      <c r="D56" s="273" t="s">
        <v>571</v>
      </c>
      <c r="E56" s="273"/>
      <c r="F56" s="180">
        <v>2</v>
      </c>
      <c r="G56" s="182">
        <v>2</v>
      </c>
      <c r="H56" s="252">
        <v>39.700000000000003</v>
      </c>
      <c r="I56" s="262">
        <v>0</v>
      </c>
      <c r="J56" s="252">
        <v>39.700000000000003</v>
      </c>
      <c r="K56" s="179" t="s">
        <v>549</v>
      </c>
      <c r="L56" s="219"/>
      <c r="M56" s="179"/>
      <c r="N56" s="263"/>
      <c r="O56" s="179"/>
      <c r="P56" s="264"/>
      <c r="Q56" s="264"/>
      <c r="R56" s="264"/>
      <c r="S56" s="264"/>
      <c r="T56" s="180"/>
      <c r="U56" s="180"/>
      <c r="V56" s="180"/>
      <c r="W56" s="265"/>
      <c r="X56" s="264"/>
      <c r="Y56" s="264"/>
    </row>
    <row r="57" spans="1:25" s="271" customFormat="1" ht="211.15" hidden="1" customHeight="1">
      <c r="A57" s="260">
        <v>64</v>
      </c>
      <c r="B57" s="630"/>
      <c r="C57" s="612"/>
      <c r="D57" s="273" t="s">
        <v>571</v>
      </c>
      <c r="E57" s="273"/>
      <c r="F57" s="180">
        <v>1</v>
      </c>
      <c r="G57" s="182">
        <v>1</v>
      </c>
      <c r="H57" s="252">
        <v>20.04</v>
      </c>
      <c r="I57" s="262">
        <v>0</v>
      </c>
      <c r="J57" s="252">
        <v>20.04</v>
      </c>
      <c r="K57" s="179" t="s">
        <v>552</v>
      </c>
      <c r="L57" s="219"/>
      <c r="M57" s="179"/>
      <c r="N57" s="263"/>
      <c r="O57" s="179"/>
      <c r="P57" s="264"/>
      <c r="Q57" s="264"/>
      <c r="R57" s="264"/>
      <c r="S57" s="264"/>
      <c r="T57" s="180"/>
      <c r="U57" s="180"/>
      <c r="V57" s="180"/>
      <c r="W57" s="265"/>
      <c r="X57" s="264"/>
      <c r="Y57" s="264"/>
    </row>
    <row r="58" spans="1:25" s="271" customFormat="1" ht="224.45" hidden="1" customHeight="1">
      <c r="A58" s="260">
        <v>65</v>
      </c>
      <c r="B58" s="630"/>
      <c r="C58" s="220">
        <v>3</v>
      </c>
      <c r="D58" s="273" t="s">
        <v>566</v>
      </c>
      <c r="E58" s="273"/>
      <c r="F58" s="180">
        <v>5</v>
      </c>
      <c r="G58" s="182">
        <v>4</v>
      </c>
      <c r="H58" s="252">
        <v>73.95</v>
      </c>
      <c r="I58" s="262">
        <v>0</v>
      </c>
      <c r="J58" s="252">
        <v>73.95</v>
      </c>
      <c r="K58" s="179" t="s">
        <v>556</v>
      </c>
      <c r="L58" s="219"/>
      <c r="M58" s="179"/>
      <c r="N58" s="263"/>
      <c r="O58" s="179"/>
      <c r="P58" s="264"/>
      <c r="Q58" s="264"/>
      <c r="R58" s="264"/>
      <c r="S58" s="264"/>
      <c r="T58" s="180"/>
      <c r="U58" s="180"/>
      <c r="V58" s="180"/>
      <c r="W58" s="265"/>
      <c r="X58" s="264"/>
      <c r="Y58" s="264"/>
    </row>
    <row r="59" spans="1:25" s="271" customFormat="1" ht="39.6" hidden="1" customHeight="1">
      <c r="A59" s="260">
        <v>66</v>
      </c>
      <c r="B59" s="631"/>
      <c r="C59" s="220">
        <v>4</v>
      </c>
      <c r="D59" s="273" t="s">
        <v>566</v>
      </c>
      <c r="E59" s="273"/>
      <c r="F59" s="180">
        <v>3</v>
      </c>
      <c r="G59" s="182">
        <v>3</v>
      </c>
      <c r="H59" s="252">
        <v>59.24</v>
      </c>
      <c r="I59" s="262">
        <v>0</v>
      </c>
      <c r="J59" s="252">
        <v>59.24</v>
      </c>
      <c r="K59" s="179" t="s">
        <v>559</v>
      </c>
      <c r="L59" s="219"/>
      <c r="M59" s="179"/>
      <c r="N59" s="263"/>
      <c r="O59" s="179"/>
      <c r="P59" s="264"/>
      <c r="Q59" s="264"/>
      <c r="R59" s="264"/>
      <c r="S59" s="264"/>
      <c r="T59" s="180"/>
      <c r="U59" s="180"/>
      <c r="V59" s="180"/>
      <c r="W59" s="265"/>
      <c r="X59" s="264"/>
      <c r="Y59" s="264"/>
    </row>
    <row r="60" spans="1:25" ht="14.45" hidden="1" customHeight="1">
      <c r="A60" s="266"/>
      <c r="B60" s="220" t="s">
        <v>568</v>
      </c>
      <c r="C60" s="220"/>
      <c r="D60" s="220">
        <v>7</v>
      </c>
      <c r="E60" s="220"/>
      <c r="F60" s="220">
        <f>SUM(F53:F59)</f>
        <v>16</v>
      </c>
      <c r="G60" s="220">
        <f>SUM(G53:G59)</f>
        <v>13</v>
      </c>
      <c r="H60" s="220">
        <f>SUM(H53:H59)</f>
        <v>265.02000000000004</v>
      </c>
      <c r="I60" s="267">
        <f>SUM(I53:I59)</f>
        <v>45.6</v>
      </c>
      <c r="J60" s="220">
        <f>SUM(J53:J59)</f>
        <v>219.42000000000002</v>
      </c>
      <c r="K60" s="252"/>
      <c r="L60" s="268"/>
      <c r="M60" s="252"/>
      <c r="N60" s="269"/>
      <c r="O60" s="252"/>
      <c r="P60" s="270"/>
      <c r="Q60" s="270"/>
      <c r="R60" s="270"/>
      <c r="S60" s="270"/>
      <c r="T60" s="220"/>
      <c r="U60" s="220"/>
      <c r="V60" s="220"/>
      <c r="W60" s="265"/>
      <c r="X60" s="270"/>
      <c r="Y60" s="270"/>
    </row>
    <row r="61" spans="1:25" ht="14.45" hidden="1" customHeight="1"/>
    <row r="62" spans="1:25" ht="14.45" hidden="1" customHeight="1"/>
    <row r="63" spans="1:25">
      <c r="G63" s="142" t="s">
        <v>573</v>
      </c>
      <c r="H63" s="142" t="s">
        <v>574</v>
      </c>
      <c r="I63" s="258" t="s">
        <v>575</v>
      </c>
    </row>
    <row r="64" spans="1:25">
      <c r="C64" s="142" t="s">
        <v>572</v>
      </c>
      <c r="G64" s="274">
        <f>G8+G9+G10+G11+G12+G14+G16+G17+G18+G19+G21+G22+G24+G26+G27+G28+G29+G30</f>
        <v>569.22</v>
      </c>
      <c r="H64" s="142">
        <v>18</v>
      </c>
      <c r="I64" s="258">
        <f>D8+D9+D10+D11+D12+D14+D16+D17+D18+D19+D21+D22+D24+D26+D27+D28+D29+D30</f>
        <v>40</v>
      </c>
    </row>
  </sheetData>
  <mergeCells count="22">
    <mergeCell ref="T5:T6"/>
    <mergeCell ref="S5:S6"/>
    <mergeCell ref="P5:P6"/>
    <mergeCell ref="Q5:Q6"/>
    <mergeCell ref="R5:R6"/>
    <mergeCell ref="A1:N1"/>
    <mergeCell ref="A2:N2"/>
    <mergeCell ref="D5:D6"/>
    <mergeCell ref="F5:F6"/>
    <mergeCell ref="G5:G6"/>
    <mergeCell ref="H5:H6"/>
    <mergeCell ref="I5:I6"/>
    <mergeCell ref="J5:K5"/>
    <mergeCell ref="B53:B59"/>
    <mergeCell ref="C53:C55"/>
    <mergeCell ref="C56:C57"/>
    <mergeCell ref="B27:B28"/>
    <mergeCell ref="A33:N36"/>
    <mergeCell ref="A52:Y52"/>
    <mergeCell ref="A44:C44"/>
    <mergeCell ref="A46:Y46"/>
    <mergeCell ref="B47:B49"/>
  </mergeCells>
  <phoneticPr fontId="63" type="noConversion"/>
  <pageMargins left="0" right="0" top="0" bottom="0" header="0.31496062992125984" footer="0.31496062992125984"/>
  <pageSetup paperSize="9" scale="58" fitToHeight="2" orientation="landscape" r:id="rId1"/>
</worksheet>
</file>

<file path=xl/worksheets/sheet13.xml><?xml version="1.0" encoding="utf-8"?>
<worksheet xmlns="http://schemas.openxmlformats.org/spreadsheetml/2006/main" xmlns:r="http://schemas.openxmlformats.org/officeDocument/2006/relationships">
  <sheetPr>
    <tabColor rgb="FF92D050"/>
    <pageSetUpPr fitToPage="1"/>
  </sheetPr>
  <dimension ref="A1:Y73"/>
  <sheetViews>
    <sheetView topLeftCell="A3" zoomScale="85" zoomScaleNormal="85" workbookViewId="0">
      <pane xSplit="4" ySplit="4" topLeftCell="G13" activePane="bottomRight" state="frozen"/>
      <selection activeCell="C22" activeCellId="1" sqref="C19 C22"/>
      <selection pane="topRight" activeCell="C22" activeCellId="1" sqref="C19 C22"/>
      <selection pane="bottomLeft" activeCell="C22" activeCellId="1" sqref="C19 C22"/>
      <selection pane="bottomRight" activeCell="Q39" sqref="Q39"/>
    </sheetView>
  </sheetViews>
  <sheetFormatPr defaultColWidth="8.85546875" defaultRowHeight="15"/>
  <cols>
    <col min="1" max="1" width="3.28515625" style="142" customWidth="1"/>
    <col min="2" max="2" width="4" style="142" customWidth="1"/>
    <col min="3" max="3" width="33.85546875" style="142" customWidth="1"/>
    <col min="4" max="5" width="6.42578125" style="142" customWidth="1"/>
    <col min="6" max="6" width="6.140625" style="142" customWidth="1"/>
    <col min="7" max="7" width="11.28515625" style="142" customWidth="1"/>
    <col min="8" max="8" width="9.5703125" style="142" customWidth="1"/>
    <col min="9" max="9" width="10.28515625" style="258" customWidth="1"/>
    <col min="10" max="10" width="9" style="142" customWidth="1"/>
    <col min="11" max="11" width="17.140625" style="142" customWidth="1"/>
    <col min="12" max="12" width="11.85546875" style="259" customWidth="1"/>
    <col min="13" max="13" width="11.85546875" style="142" customWidth="1"/>
    <col min="14" max="14" width="11.85546875" style="62" customWidth="1"/>
    <col min="15" max="16" width="11.85546875" style="142" customWidth="1"/>
    <col min="17" max="17" width="16" style="142" customWidth="1"/>
    <col min="18" max="19" width="14.42578125" style="142" customWidth="1"/>
    <col min="20" max="20" width="17.7109375" style="142" customWidth="1"/>
    <col min="21" max="21" width="12.140625" style="142" bestFit="1" customWidth="1"/>
    <col min="22" max="16384" width="8.85546875" style="142"/>
  </cols>
  <sheetData>
    <row r="1" spans="1:21" ht="36.6" customHeight="1">
      <c r="A1" s="626" t="s">
        <v>425</v>
      </c>
      <c r="B1" s="626"/>
      <c r="C1" s="626"/>
      <c r="D1" s="626"/>
      <c r="E1" s="626"/>
      <c r="F1" s="626"/>
      <c r="G1" s="626"/>
      <c r="H1" s="626"/>
      <c r="I1" s="626"/>
      <c r="J1" s="626"/>
      <c r="K1" s="626"/>
      <c r="L1" s="626"/>
      <c r="M1" s="626"/>
      <c r="N1" s="626"/>
      <c r="O1" s="146"/>
    </row>
    <row r="2" spans="1:21" ht="18" customHeight="1">
      <c r="A2" s="626" t="s">
        <v>426</v>
      </c>
      <c r="B2" s="626"/>
      <c r="C2" s="626"/>
      <c r="D2" s="626"/>
      <c r="E2" s="626"/>
      <c r="F2" s="626"/>
      <c r="G2" s="626"/>
      <c r="H2" s="626"/>
      <c r="I2" s="626"/>
      <c r="J2" s="626"/>
      <c r="K2" s="626"/>
      <c r="L2" s="626"/>
      <c r="M2" s="626"/>
      <c r="N2" s="626"/>
      <c r="O2" s="146"/>
    </row>
    <row r="3" spans="1:21" ht="15.6" customHeight="1">
      <c r="A3" s="146"/>
      <c r="B3" s="146"/>
      <c r="C3" s="146"/>
      <c r="D3" s="146"/>
      <c r="E3" s="146"/>
      <c r="F3" s="146"/>
      <c r="G3" s="146"/>
      <c r="H3" s="146"/>
      <c r="I3" s="146"/>
      <c r="J3" s="147">
        <v>4</v>
      </c>
      <c r="K3" s="148" t="s">
        <v>427</v>
      </c>
      <c r="L3" s="146"/>
      <c r="M3" s="146"/>
      <c r="N3" s="146"/>
      <c r="O3" s="146"/>
      <c r="P3" s="142">
        <v>39.700000000000003</v>
      </c>
      <c r="Q3" s="142">
        <v>1166905.3282631161</v>
      </c>
      <c r="R3" s="142">
        <v>559195.73714237707</v>
      </c>
      <c r="S3" s="142">
        <v>139798.93459450715</v>
      </c>
      <c r="T3" s="142">
        <v>1865900.0000000002</v>
      </c>
    </row>
    <row r="4" spans="1:21" ht="15.6" customHeight="1">
      <c r="A4" s="149"/>
      <c r="B4" s="149"/>
      <c r="C4" s="149"/>
      <c r="D4" s="149"/>
      <c r="E4" s="149"/>
      <c r="F4" s="149"/>
      <c r="G4" s="149"/>
      <c r="H4" s="149"/>
      <c r="I4" s="150"/>
      <c r="J4" s="151">
        <v>9</v>
      </c>
      <c r="K4" s="148" t="s">
        <v>428</v>
      </c>
      <c r="L4" s="152"/>
      <c r="M4" s="149"/>
      <c r="N4" s="153"/>
      <c r="O4" s="149"/>
      <c r="P4" s="424"/>
    </row>
    <row r="5" spans="1:21" ht="30.6" customHeight="1">
      <c r="A5" s="154"/>
      <c r="B5" s="154"/>
      <c r="C5" s="154"/>
      <c r="D5" s="606" t="s">
        <v>429</v>
      </c>
      <c r="E5" s="155"/>
      <c r="F5" s="606" t="s">
        <v>430</v>
      </c>
      <c r="G5" s="606" t="s">
        <v>431</v>
      </c>
      <c r="H5" s="606" t="s">
        <v>432</v>
      </c>
      <c r="I5" s="627" t="s">
        <v>433</v>
      </c>
      <c r="J5" s="623" t="s">
        <v>434</v>
      </c>
      <c r="K5" s="625"/>
      <c r="L5" s="156"/>
      <c r="M5" s="157"/>
      <c r="N5" s="158"/>
      <c r="O5" s="157"/>
      <c r="P5" s="606" t="s">
        <v>435</v>
      </c>
      <c r="Q5" s="606"/>
      <c r="R5" s="606"/>
      <c r="S5" s="606"/>
      <c r="T5" s="606"/>
    </row>
    <row r="6" spans="1:21" ht="88.15" customHeight="1">
      <c r="A6" s="159" t="s">
        <v>3</v>
      </c>
      <c r="B6" s="159" t="s">
        <v>436</v>
      </c>
      <c r="C6" s="160" t="s">
        <v>437</v>
      </c>
      <c r="D6" s="607"/>
      <c r="E6" s="161" t="s">
        <v>438</v>
      </c>
      <c r="F6" s="607"/>
      <c r="G6" s="607"/>
      <c r="H6" s="607"/>
      <c r="I6" s="628"/>
      <c r="J6" s="162" t="s">
        <v>439</v>
      </c>
      <c r="K6" s="163" t="s">
        <v>440</v>
      </c>
      <c r="L6" s="164"/>
      <c r="M6" s="165"/>
      <c r="N6" s="166" t="s">
        <v>441</v>
      </c>
      <c r="O6" s="165" t="s">
        <v>442</v>
      </c>
      <c r="P6" s="607"/>
      <c r="Q6" s="607"/>
      <c r="R6" s="607"/>
      <c r="S6" s="607"/>
      <c r="T6" s="607"/>
    </row>
    <row r="7" spans="1:21" s="414" customFormat="1">
      <c r="A7" s="426"/>
      <c r="B7" s="426"/>
      <c r="C7" s="167" t="s">
        <v>443</v>
      </c>
      <c r="D7" s="427">
        <f>SUM(D8:D12)</f>
        <v>12</v>
      </c>
      <c r="E7" s="427"/>
      <c r="F7" s="427">
        <f t="shared" ref="F7:K7" si="0">SUM(F8:F12)</f>
        <v>6</v>
      </c>
      <c r="G7" s="428">
        <f t="shared" si="0"/>
        <v>136.07</v>
      </c>
      <c r="H7" s="427">
        <f t="shared" si="0"/>
        <v>67.39</v>
      </c>
      <c r="I7" s="429">
        <f t="shared" si="0"/>
        <v>68.679999999999993</v>
      </c>
      <c r="J7" s="427">
        <f t="shared" si="0"/>
        <v>0</v>
      </c>
      <c r="K7" s="428">
        <f t="shared" si="0"/>
        <v>136.07</v>
      </c>
      <c r="L7" s="171"/>
      <c r="M7" s="430"/>
      <c r="N7" s="431" t="s">
        <v>444</v>
      </c>
      <c r="O7" s="431"/>
      <c r="P7" s="425">
        <f>G7*1.2</f>
        <v>163.28399999999999</v>
      </c>
      <c r="Q7" s="422">
        <f>Q3/P3*P7</f>
        <v>4799419.889675431</v>
      </c>
      <c r="R7" s="422">
        <f>R3/P3*P7</f>
        <v>2299942.4872432211</v>
      </c>
      <c r="S7" s="422">
        <f>S3/P3*P7</f>
        <v>574985.62308134767</v>
      </c>
      <c r="T7" s="422">
        <f>SUM(Q7:S7)</f>
        <v>7674348</v>
      </c>
      <c r="U7" s="414">
        <f t="shared" ref="U7:U38" si="1">T7/P7</f>
        <v>47000</v>
      </c>
    </row>
    <row r="8" spans="1:21">
      <c r="A8" s="177">
        <v>1</v>
      </c>
      <c r="B8" s="178">
        <v>1</v>
      </c>
      <c r="C8" s="179" t="s">
        <v>445</v>
      </c>
      <c r="D8" s="180">
        <v>1</v>
      </c>
      <c r="E8" s="181" t="s">
        <v>446</v>
      </c>
      <c r="F8" s="182">
        <v>1</v>
      </c>
      <c r="G8" s="183">
        <v>26.74</v>
      </c>
      <c r="H8" s="184">
        <v>0</v>
      </c>
      <c r="I8" s="185">
        <v>26.74</v>
      </c>
      <c r="J8" s="186"/>
      <c r="K8" s="187">
        <v>26.74</v>
      </c>
      <c r="L8" s="188">
        <f>75.32*355/1000</f>
        <v>26.738599999999998</v>
      </c>
      <c r="M8" s="189"/>
      <c r="N8" s="190" t="s">
        <v>447</v>
      </c>
      <c r="O8" s="191"/>
      <c r="P8" s="175">
        <f>G8*1.2</f>
        <v>32.087999999999994</v>
      </c>
      <c r="Q8" s="176">
        <f>Q7/P7*P8</f>
        <v>943165.19328228862</v>
      </c>
      <c r="R8" s="176">
        <f>R7/P7*P8</f>
        <v>451976.64517442294</v>
      </c>
      <c r="S8" s="176">
        <f>S7/P7*P8</f>
        <v>112994.16154328827</v>
      </c>
      <c r="T8" s="415">
        <f>SUM(Q8:S8)</f>
        <v>1508135.9999999998</v>
      </c>
      <c r="U8" s="142">
        <f>T8/P8</f>
        <v>47000</v>
      </c>
    </row>
    <row r="9" spans="1:21" ht="19.149999999999999" customHeight="1">
      <c r="A9" s="177">
        <v>3</v>
      </c>
      <c r="B9" s="177">
        <v>1</v>
      </c>
      <c r="C9" s="179" t="s">
        <v>453</v>
      </c>
      <c r="D9" s="180">
        <v>4</v>
      </c>
      <c r="E9" s="181" t="s">
        <v>446</v>
      </c>
      <c r="F9" s="182">
        <v>1</v>
      </c>
      <c r="G9" s="183">
        <v>30.5</v>
      </c>
      <c r="H9" s="184">
        <v>30.5</v>
      </c>
      <c r="I9" s="185">
        <v>0</v>
      </c>
      <c r="J9" s="186"/>
      <c r="K9" s="187">
        <v>30.5</v>
      </c>
      <c r="L9" s="195">
        <v>24.51</v>
      </c>
      <c r="M9" s="189"/>
      <c r="N9" s="190" t="s">
        <v>454</v>
      </c>
      <c r="O9" s="196"/>
      <c r="P9" s="175">
        <f t="shared" ref="P9:P39" si="2">G9*1.2</f>
        <v>36.6</v>
      </c>
      <c r="Q9" s="176">
        <f t="shared" ref="Q9:Q40" si="3">Q8/P8*P9</f>
        <v>1075786.7761821169</v>
      </c>
      <c r="R9" s="176">
        <f t="shared" ref="R9:R40" si="4">R8/P8*P9</f>
        <v>515530.5788264735</v>
      </c>
      <c r="S9" s="176">
        <f t="shared" ref="S9:S40" si="5">S8/P8*P9</f>
        <v>128882.6449914096</v>
      </c>
      <c r="T9" s="415">
        <f t="shared" ref="T9:T39" si="6">SUM(Q9:S9)</f>
        <v>1720200</v>
      </c>
      <c r="U9" s="142">
        <f t="shared" si="1"/>
        <v>47000</v>
      </c>
    </row>
    <row r="10" spans="1:21">
      <c r="A10" s="177">
        <v>4</v>
      </c>
      <c r="B10" s="180">
        <v>2</v>
      </c>
      <c r="C10" s="197" t="s">
        <v>455</v>
      </c>
      <c r="D10" s="198">
        <v>4</v>
      </c>
      <c r="E10" s="199"/>
      <c r="F10" s="199">
        <v>2</v>
      </c>
      <c r="G10" s="200">
        <v>36.89</v>
      </c>
      <c r="H10" s="201">
        <v>36.89</v>
      </c>
      <c r="I10" s="200">
        <v>0</v>
      </c>
      <c r="J10" s="202"/>
      <c r="K10" s="203">
        <v>36.89</v>
      </c>
      <c r="L10" s="204">
        <v>30.36</v>
      </c>
      <c r="M10" s="205"/>
      <c r="N10" s="206" t="s">
        <v>456</v>
      </c>
      <c r="O10" s="206"/>
      <c r="P10" s="175">
        <f t="shared" si="2"/>
        <v>44.268000000000001</v>
      </c>
      <c r="Q10" s="176">
        <f t="shared" si="3"/>
        <v>1301172.9237166652</v>
      </c>
      <c r="R10" s="176">
        <f t="shared" si="4"/>
        <v>623538.46075110196</v>
      </c>
      <c r="S10" s="176">
        <f t="shared" si="5"/>
        <v>155884.6155322328</v>
      </c>
      <c r="T10" s="415">
        <f t="shared" si="6"/>
        <v>2080596</v>
      </c>
      <c r="U10" s="142">
        <f t="shared" si="1"/>
        <v>47000</v>
      </c>
    </row>
    <row r="11" spans="1:21">
      <c r="A11" s="177">
        <v>5</v>
      </c>
      <c r="B11" s="209">
        <v>2</v>
      </c>
      <c r="C11" s="179" t="s">
        <v>457</v>
      </c>
      <c r="D11" s="180">
        <v>1</v>
      </c>
      <c r="E11" s="181" t="s">
        <v>446</v>
      </c>
      <c r="F11" s="182">
        <v>1</v>
      </c>
      <c r="G11" s="183">
        <v>22.7</v>
      </c>
      <c r="H11" s="184">
        <v>0</v>
      </c>
      <c r="I11" s="185">
        <v>22.7</v>
      </c>
      <c r="J11" s="210"/>
      <c r="K11" s="187">
        <v>22.7</v>
      </c>
      <c r="L11" s="188">
        <f>59.59*381/1000</f>
        <v>22.703790000000001</v>
      </c>
      <c r="M11" s="211" t="s">
        <v>458</v>
      </c>
      <c r="N11" s="190" t="s">
        <v>459</v>
      </c>
      <c r="O11" s="191"/>
      <c r="P11" s="175">
        <f t="shared" si="2"/>
        <v>27.24</v>
      </c>
      <c r="Q11" s="176">
        <f t="shared" si="3"/>
        <v>800667.53506013285</v>
      </c>
      <c r="R11" s="176">
        <f t="shared" si="4"/>
        <v>383689.97178232623</v>
      </c>
      <c r="S11" s="176">
        <f t="shared" si="5"/>
        <v>95922.493157540914</v>
      </c>
      <c r="T11" s="415">
        <f t="shared" si="6"/>
        <v>1280280</v>
      </c>
      <c r="U11" s="142">
        <f t="shared" si="1"/>
        <v>47000</v>
      </c>
    </row>
    <row r="12" spans="1:21">
      <c r="A12" s="177">
        <v>9</v>
      </c>
      <c r="B12" s="209">
        <v>4</v>
      </c>
      <c r="C12" s="179" t="s">
        <v>469</v>
      </c>
      <c r="D12" s="180">
        <v>2</v>
      </c>
      <c r="E12" s="181" t="s">
        <v>449</v>
      </c>
      <c r="F12" s="182">
        <v>1</v>
      </c>
      <c r="G12" s="183">
        <v>19.239999999999998</v>
      </c>
      <c r="H12" s="184">
        <v>0</v>
      </c>
      <c r="I12" s="185">
        <v>19.239999999999998</v>
      </c>
      <c r="J12" s="216"/>
      <c r="K12" s="187">
        <v>19.239999999999998</v>
      </c>
      <c r="L12" s="188">
        <f>58.85*327/1000</f>
        <v>19.243950000000002</v>
      </c>
      <c r="M12" s="211"/>
      <c r="N12" s="190" t="s">
        <v>470</v>
      </c>
      <c r="O12" s="191"/>
      <c r="P12" s="175">
        <f t="shared" si="2"/>
        <v>23.087999999999997</v>
      </c>
      <c r="Q12" s="176">
        <f t="shared" si="3"/>
        <v>678627.46143422707</v>
      </c>
      <c r="R12" s="176">
        <f t="shared" si="4"/>
        <v>325206.83070889674</v>
      </c>
      <c r="S12" s="176">
        <f t="shared" si="5"/>
        <v>81301.707856876077</v>
      </c>
      <c r="T12" s="415">
        <f t="shared" si="6"/>
        <v>1085136</v>
      </c>
      <c r="U12" s="142">
        <f t="shared" si="1"/>
        <v>47000.000000000007</v>
      </c>
    </row>
    <row r="13" spans="1:21" s="414" customFormat="1">
      <c r="A13" s="416"/>
      <c r="B13" s="346"/>
      <c r="C13" s="219" t="s">
        <v>473</v>
      </c>
      <c r="D13" s="419">
        <f>SUM(D14:D16)</f>
        <v>13</v>
      </c>
      <c r="E13" s="419"/>
      <c r="F13" s="419">
        <f t="shared" ref="F13:K13" si="7">SUM(F14:F16)</f>
        <v>9</v>
      </c>
      <c r="G13" s="418">
        <f t="shared" si="7"/>
        <v>149.54</v>
      </c>
      <c r="H13" s="418">
        <f t="shared" si="7"/>
        <v>50.04</v>
      </c>
      <c r="I13" s="418">
        <f t="shared" si="7"/>
        <v>99.5</v>
      </c>
      <c r="J13" s="419">
        <f t="shared" si="7"/>
        <v>0</v>
      </c>
      <c r="K13" s="419">
        <f t="shared" si="7"/>
        <v>149.54</v>
      </c>
      <c r="L13" s="188"/>
      <c r="M13" s="420"/>
      <c r="N13" s="421" t="s">
        <v>474</v>
      </c>
      <c r="O13" s="421"/>
      <c r="P13" s="425">
        <f t="shared" si="2"/>
        <v>179.44799999999998</v>
      </c>
      <c r="Q13" s="422">
        <f t="shared" si="3"/>
        <v>5274529.6560745491</v>
      </c>
      <c r="R13" s="422">
        <f t="shared" si="4"/>
        <v>2527621.0740233064</v>
      </c>
      <c r="S13" s="422">
        <f t="shared" si="5"/>
        <v>631905.26990214398</v>
      </c>
      <c r="T13" s="422">
        <f t="shared" si="6"/>
        <v>8434056</v>
      </c>
      <c r="U13" s="414">
        <f t="shared" si="1"/>
        <v>47000.000000000007</v>
      </c>
    </row>
    <row r="14" spans="1:21" ht="38.25">
      <c r="A14" s="177">
        <v>1</v>
      </c>
      <c r="B14" s="180">
        <v>1</v>
      </c>
      <c r="C14" s="226" t="s">
        <v>475</v>
      </c>
      <c r="D14" s="180">
        <v>4</v>
      </c>
      <c r="E14" s="181"/>
      <c r="F14" s="227">
        <v>3</v>
      </c>
      <c r="G14" s="228">
        <v>50</v>
      </c>
      <c r="H14" s="184">
        <v>0</v>
      </c>
      <c r="I14" s="185">
        <v>50</v>
      </c>
      <c r="J14" s="216"/>
      <c r="K14" s="187">
        <v>50</v>
      </c>
      <c r="L14" s="188">
        <v>50</v>
      </c>
      <c r="M14" s="211"/>
      <c r="N14" s="190" t="s">
        <v>476</v>
      </c>
      <c r="O14" s="191"/>
      <c r="P14" s="175">
        <f t="shared" si="2"/>
        <v>60</v>
      </c>
      <c r="Q14" s="176">
        <f t="shared" si="3"/>
        <v>1763584.8789870769</v>
      </c>
      <c r="R14" s="176">
        <f t="shared" si="4"/>
        <v>845132.09643684188</v>
      </c>
      <c r="S14" s="176">
        <f t="shared" si="5"/>
        <v>211283.02457608134</v>
      </c>
      <c r="T14" s="415">
        <f t="shared" si="6"/>
        <v>2820000.0000000005</v>
      </c>
      <c r="U14" s="142">
        <f t="shared" si="1"/>
        <v>47000.000000000007</v>
      </c>
    </row>
    <row r="15" spans="1:21">
      <c r="A15" s="177">
        <v>3</v>
      </c>
      <c r="B15" s="180">
        <v>3</v>
      </c>
      <c r="C15" s="179" t="s">
        <v>479</v>
      </c>
      <c r="D15" s="180">
        <v>5</v>
      </c>
      <c r="E15" s="181"/>
      <c r="F15" s="227">
        <v>3</v>
      </c>
      <c r="G15" s="228">
        <v>50.04</v>
      </c>
      <c r="H15" s="184">
        <v>50.04</v>
      </c>
      <c r="I15" s="185">
        <v>0</v>
      </c>
      <c r="J15" s="216"/>
      <c r="K15" s="187">
        <v>50.04</v>
      </c>
      <c r="L15" s="188">
        <v>49.58</v>
      </c>
      <c r="M15" s="211"/>
      <c r="N15" s="190"/>
      <c r="O15" s="196"/>
      <c r="P15" s="175">
        <f t="shared" si="2"/>
        <v>60.047999999999995</v>
      </c>
      <c r="Q15" s="176">
        <f t="shared" si="3"/>
        <v>1764995.7468902664</v>
      </c>
      <c r="R15" s="176">
        <f t="shared" si="4"/>
        <v>845808.20211399137</v>
      </c>
      <c r="S15" s="176">
        <f t="shared" si="5"/>
        <v>211452.0509957422</v>
      </c>
      <c r="T15" s="415">
        <f t="shared" si="6"/>
        <v>2822256</v>
      </c>
      <c r="U15" s="142">
        <f t="shared" si="1"/>
        <v>47000.000000000007</v>
      </c>
    </row>
    <row r="16" spans="1:21" ht="51">
      <c r="A16" s="177">
        <v>4</v>
      </c>
      <c r="B16" s="180">
        <v>4</v>
      </c>
      <c r="C16" s="231" t="s">
        <v>480</v>
      </c>
      <c r="D16" s="180">
        <v>4</v>
      </c>
      <c r="E16" s="232"/>
      <c r="F16" s="233">
        <v>3</v>
      </c>
      <c r="G16" s="234">
        <v>49.5</v>
      </c>
      <c r="H16" s="184">
        <v>0</v>
      </c>
      <c r="I16" s="185">
        <v>49.5</v>
      </c>
      <c r="J16" s="235" t="s">
        <v>481</v>
      </c>
      <c r="K16" s="187">
        <v>49.5</v>
      </c>
      <c r="L16" s="188">
        <v>49.5</v>
      </c>
      <c r="M16" s="196" t="s">
        <v>482</v>
      </c>
      <c r="N16" s="214" t="s">
        <v>483</v>
      </c>
      <c r="O16" s="196"/>
      <c r="P16" s="175">
        <f t="shared" si="2"/>
        <v>59.4</v>
      </c>
      <c r="Q16" s="176">
        <f t="shared" si="3"/>
        <v>1745949.0301972062</v>
      </c>
      <c r="R16" s="176">
        <f t="shared" si="4"/>
        <v>836680.77547247347</v>
      </c>
      <c r="S16" s="176">
        <f t="shared" si="5"/>
        <v>209170.19433032055</v>
      </c>
      <c r="T16" s="415">
        <f t="shared" si="6"/>
        <v>2791800.0000000005</v>
      </c>
      <c r="U16" s="142">
        <f t="shared" si="1"/>
        <v>47000.000000000007</v>
      </c>
    </row>
    <row r="17" spans="1:21" s="414" customFormat="1">
      <c r="A17" s="416"/>
      <c r="B17" s="346"/>
      <c r="C17" s="219" t="s">
        <v>484</v>
      </c>
      <c r="D17" s="419">
        <f>SUM(D18:D25)</f>
        <v>27</v>
      </c>
      <c r="E17" s="419"/>
      <c r="F17" s="419">
        <f t="shared" ref="F17:K17" si="8">SUM(F18:F25)</f>
        <v>18</v>
      </c>
      <c r="G17" s="418">
        <f t="shared" si="8"/>
        <v>369.99000000000007</v>
      </c>
      <c r="H17" s="418">
        <f t="shared" si="8"/>
        <v>263.39000000000004</v>
      </c>
      <c r="I17" s="418">
        <f t="shared" si="8"/>
        <v>106.6</v>
      </c>
      <c r="J17" s="419">
        <f t="shared" si="8"/>
        <v>0</v>
      </c>
      <c r="K17" s="419">
        <f t="shared" si="8"/>
        <v>369.99000000000007</v>
      </c>
      <c r="L17" s="188"/>
      <c r="M17" s="420"/>
      <c r="N17" s="421" t="s">
        <v>485</v>
      </c>
      <c r="O17" s="421"/>
      <c r="P17" s="425">
        <f t="shared" si="2"/>
        <v>443.98800000000006</v>
      </c>
      <c r="Q17" s="422">
        <f t="shared" si="3"/>
        <v>13050175.387528574</v>
      </c>
      <c r="R17" s="422">
        <f t="shared" si="4"/>
        <v>6253808.4872133434</v>
      </c>
      <c r="S17" s="422">
        <f t="shared" si="5"/>
        <v>1563452.1252580872</v>
      </c>
      <c r="T17" s="422">
        <f t="shared" si="6"/>
        <v>20867436.000000007</v>
      </c>
      <c r="U17" s="414">
        <f t="shared" si="1"/>
        <v>47000.000000000007</v>
      </c>
    </row>
    <row r="18" spans="1:21">
      <c r="A18" s="177">
        <v>1</v>
      </c>
      <c r="B18" s="177">
        <v>1</v>
      </c>
      <c r="C18" s="179" t="s">
        <v>486</v>
      </c>
      <c r="D18" s="180">
        <v>2</v>
      </c>
      <c r="E18" s="181"/>
      <c r="F18" s="227">
        <v>2</v>
      </c>
      <c r="G18" s="228">
        <v>46.22</v>
      </c>
      <c r="H18" s="184">
        <v>46.22</v>
      </c>
      <c r="I18" s="185">
        <v>0</v>
      </c>
      <c r="J18" s="216"/>
      <c r="K18" s="187">
        <v>46.22</v>
      </c>
      <c r="L18" s="188">
        <v>46.22</v>
      </c>
      <c r="M18" s="189"/>
      <c r="N18" s="190" t="s">
        <v>487</v>
      </c>
      <c r="O18" s="196"/>
      <c r="P18" s="175">
        <f t="shared" si="2"/>
        <v>55.463999999999999</v>
      </c>
      <c r="Q18" s="176">
        <f t="shared" si="3"/>
        <v>1630257.8621356538</v>
      </c>
      <c r="R18" s="176">
        <f t="shared" si="4"/>
        <v>781240.10994621669</v>
      </c>
      <c r="S18" s="176">
        <f t="shared" si="5"/>
        <v>195310.02791812961</v>
      </c>
      <c r="T18" s="415">
        <f t="shared" si="6"/>
        <v>2606808.0000000005</v>
      </c>
      <c r="U18" s="142">
        <f t="shared" si="1"/>
        <v>47000.000000000007</v>
      </c>
    </row>
    <row r="19" spans="1:21">
      <c r="A19" s="177">
        <v>2</v>
      </c>
      <c r="B19" s="177">
        <v>2</v>
      </c>
      <c r="C19" s="179" t="s">
        <v>488</v>
      </c>
      <c r="D19" s="180">
        <v>4</v>
      </c>
      <c r="E19" s="181"/>
      <c r="F19" s="227">
        <v>3</v>
      </c>
      <c r="G19" s="228">
        <v>56.99</v>
      </c>
      <c r="H19" s="184">
        <v>56.99</v>
      </c>
      <c r="I19" s="185">
        <v>0</v>
      </c>
      <c r="J19" s="216"/>
      <c r="K19" s="187">
        <v>56.99</v>
      </c>
      <c r="L19" s="188">
        <v>56.99</v>
      </c>
      <c r="M19" s="211"/>
      <c r="N19" s="190" t="s">
        <v>489</v>
      </c>
      <c r="O19" s="196"/>
      <c r="P19" s="175">
        <f t="shared" si="2"/>
        <v>68.388000000000005</v>
      </c>
      <c r="Q19" s="176">
        <f t="shared" si="3"/>
        <v>2010134.0450694703</v>
      </c>
      <c r="R19" s="176">
        <f t="shared" si="4"/>
        <v>963281.56351871253</v>
      </c>
      <c r="S19" s="176">
        <f t="shared" si="5"/>
        <v>240820.39141181757</v>
      </c>
      <c r="T19" s="415">
        <f t="shared" si="6"/>
        <v>3214236.0000000005</v>
      </c>
      <c r="U19" s="142">
        <f t="shared" si="1"/>
        <v>47000</v>
      </c>
    </row>
    <row r="20" spans="1:21" ht="38.25">
      <c r="A20" s="177">
        <v>3</v>
      </c>
      <c r="B20" s="177">
        <v>3</v>
      </c>
      <c r="C20" s="179" t="s">
        <v>490</v>
      </c>
      <c r="D20" s="180">
        <v>2</v>
      </c>
      <c r="E20" s="181"/>
      <c r="F20" s="227">
        <v>2</v>
      </c>
      <c r="G20" s="228">
        <v>46.56</v>
      </c>
      <c r="H20" s="184">
        <v>0</v>
      </c>
      <c r="I20" s="185">
        <v>46.56</v>
      </c>
      <c r="J20" s="216"/>
      <c r="K20" s="187">
        <v>46.56</v>
      </c>
      <c r="L20" s="236">
        <v>46.6</v>
      </c>
      <c r="M20" s="211"/>
      <c r="N20" s="190" t="s">
        <v>491</v>
      </c>
      <c r="O20" s="191"/>
      <c r="P20" s="175">
        <f t="shared" si="2"/>
        <v>55.872</v>
      </c>
      <c r="Q20" s="176">
        <f t="shared" si="3"/>
        <v>1642250.2393127659</v>
      </c>
      <c r="R20" s="176">
        <f t="shared" si="4"/>
        <v>786987.00820198725</v>
      </c>
      <c r="S20" s="176">
        <f t="shared" si="5"/>
        <v>196746.75248524698</v>
      </c>
      <c r="T20" s="415">
        <f t="shared" si="6"/>
        <v>2625984</v>
      </c>
      <c r="U20" s="142">
        <f t="shared" si="1"/>
        <v>47000</v>
      </c>
    </row>
    <row r="21" spans="1:21">
      <c r="A21" s="177">
        <v>4</v>
      </c>
      <c r="B21" s="177">
        <v>4</v>
      </c>
      <c r="C21" s="179" t="s">
        <v>492</v>
      </c>
      <c r="D21" s="180">
        <v>6</v>
      </c>
      <c r="E21" s="181" t="s">
        <v>449</v>
      </c>
      <c r="F21" s="237">
        <v>2</v>
      </c>
      <c r="G21" s="183">
        <v>34.700000000000003</v>
      </c>
      <c r="H21" s="184">
        <v>34.700000000000003</v>
      </c>
      <c r="I21" s="185">
        <v>0</v>
      </c>
      <c r="J21" s="216"/>
      <c r="K21" s="187">
        <v>34.700000000000003</v>
      </c>
      <c r="L21" s="188">
        <v>34.700000000000003</v>
      </c>
      <c r="M21" s="211"/>
      <c r="N21" s="190" t="s">
        <v>493</v>
      </c>
      <c r="O21" s="196"/>
      <c r="P21" s="175">
        <f t="shared" si="2"/>
        <v>41.64</v>
      </c>
      <c r="Q21" s="176">
        <f t="shared" si="3"/>
        <v>1223927.9060170313</v>
      </c>
      <c r="R21" s="176">
        <f t="shared" si="4"/>
        <v>586521.67492716829</v>
      </c>
      <c r="S21" s="176">
        <f t="shared" si="5"/>
        <v>146630.41905580048</v>
      </c>
      <c r="T21" s="415">
        <f t="shared" si="6"/>
        <v>1957080</v>
      </c>
      <c r="U21" s="142">
        <f t="shared" si="1"/>
        <v>47000</v>
      </c>
    </row>
    <row r="22" spans="1:21">
      <c r="A22" s="177">
        <v>5</v>
      </c>
      <c r="B22" s="177">
        <v>4</v>
      </c>
      <c r="C22" s="179" t="s">
        <v>494</v>
      </c>
      <c r="D22" s="180">
        <v>4</v>
      </c>
      <c r="E22" s="181" t="s">
        <v>449</v>
      </c>
      <c r="F22" s="182">
        <v>1</v>
      </c>
      <c r="G22" s="183">
        <v>22.32</v>
      </c>
      <c r="H22" s="184">
        <v>22.32</v>
      </c>
      <c r="I22" s="185">
        <v>0</v>
      </c>
      <c r="J22" s="216"/>
      <c r="K22" s="187">
        <v>22.32</v>
      </c>
      <c r="L22" s="188">
        <v>22.2</v>
      </c>
      <c r="M22" s="211"/>
      <c r="N22" s="190" t="s">
        <v>495</v>
      </c>
      <c r="O22" s="196"/>
      <c r="P22" s="175">
        <f t="shared" si="2"/>
        <v>26.783999999999999</v>
      </c>
      <c r="Q22" s="176">
        <f t="shared" si="3"/>
        <v>787264.28997983108</v>
      </c>
      <c r="R22" s="176">
        <f t="shared" si="4"/>
        <v>377266.96784940624</v>
      </c>
      <c r="S22" s="176">
        <f t="shared" si="5"/>
        <v>94316.742170762722</v>
      </c>
      <c r="T22" s="415">
        <f t="shared" si="6"/>
        <v>1258848</v>
      </c>
      <c r="U22" s="142">
        <f t="shared" si="1"/>
        <v>47000</v>
      </c>
    </row>
    <row r="23" spans="1:21">
      <c r="A23" s="177">
        <v>6</v>
      </c>
      <c r="B23" s="177">
        <v>5</v>
      </c>
      <c r="C23" s="179" t="s">
        <v>496</v>
      </c>
      <c r="D23" s="180">
        <v>3</v>
      </c>
      <c r="E23" s="181"/>
      <c r="F23" s="227">
        <v>3</v>
      </c>
      <c r="G23" s="228">
        <v>56.67</v>
      </c>
      <c r="H23" s="184">
        <v>56.67</v>
      </c>
      <c r="I23" s="185">
        <v>0</v>
      </c>
      <c r="J23" s="216"/>
      <c r="K23" s="187">
        <v>56.67</v>
      </c>
      <c r="L23" s="188">
        <v>56.67</v>
      </c>
      <c r="M23" s="211"/>
      <c r="N23" s="190" t="s">
        <v>497</v>
      </c>
      <c r="O23" s="196"/>
      <c r="P23" s="175">
        <f t="shared" si="2"/>
        <v>68.004000000000005</v>
      </c>
      <c r="Q23" s="176">
        <f t="shared" si="3"/>
        <v>1998847.1018439529</v>
      </c>
      <c r="R23" s="176">
        <f t="shared" si="4"/>
        <v>957872.71810151672</v>
      </c>
      <c r="S23" s="176">
        <f t="shared" si="5"/>
        <v>239468.18005453065</v>
      </c>
      <c r="T23" s="415">
        <f t="shared" si="6"/>
        <v>3196188</v>
      </c>
      <c r="U23" s="142">
        <f t="shared" si="1"/>
        <v>47000</v>
      </c>
    </row>
    <row r="24" spans="1:21">
      <c r="A24" s="177">
        <v>8</v>
      </c>
      <c r="B24" s="177">
        <v>8</v>
      </c>
      <c r="C24" s="179" t="s">
        <v>500</v>
      </c>
      <c r="D24" s="180">
        <v>4</v>
      </c>
      <c r="E24" s="181"/>
      <c r="F24" s="227">
        <v>3</v>
      </c>
      <c r="G24" s="228">
        <v>60.04</v>
      </c>
      <c r="H24" s="184">
        <v>0</v>
      </c>
      <c r="I24" s="185">
        <v>60.04</v>
      </c>
      <c r="J24" s="216"/>
      <c r="K24" s="187">
        <v>60.04</v>
      </c>
      <c r="L24" s="188">
        <v>60.04</v>
      </c>
      <c r="M24" s="189"/>
      <c r="N24" s="190" t="s">
        <v>501</v>
      </c>
      <c r="O24" s="191"/>
      <c r="P24" s="175">
        <f t="shared" si="2"/>
        <v>72.048000000000002</v>
      </c>
      <c r="Q24" s="176">
        <f t="shared" si="3"/>
        <v>2117712.7226876817</v>
      </c>
      <c r="R24" s="176">
        <f t="shared" si="4"/>
        <v>1014834.6214013598</v>
      </c>
      <c r="S24" s="176">
        <f t="shared" si="5"/>
        <v>253708.65591095851</v>
      </c>
      <c r="T24" s="415">
        <f t="shared" si="6"/>
        <v>3386256</v>
      </c>
      <c r="U24" s="142">
        <f t="shared" si="1"/>
        <v>47000</v>
      </c>
    </row>
    <row r="25" spans="1:21">
      <c r="A25" s="177">
        <v>9</v>
      </c>
      <c r="B25" s="177">
        <v>9</v>
      </c>
      <c r="C25" s="179" t="s">
        <v>502</v>
      </c>
      <c r="D25" s="180">
        <v>2</v>
      </c>
      <c r="E25" s="181"/>
      <c r="F25" s="237">
        <v>2</v>
      </c>
      <c r="G25" s="228">
        <v>46.49</v>
      </c>
      <c r="H25" s="184">
        <v>46.49</v>
      </c>
      <c r="I25" s="185">
        <v>0</v>
      </c>
      <c r="J25" s="216"/>
      <c r="K25" s="187">
        <v>46.49</v>
      </c>
      <c r="L25" s="188">
        <v>46.49</v>
      </c>
      <c r="M25" s="211"/>
      <c r="N25" s="190" t="s">
        <v>503</v>
      </c>
      <c r="O25" s="196"/>
      <c r="P25" s="175">
        <f t="shared" si="2"/>
        <v>55.788000000000004</v>
      </c>
      <c r="Q25" s="176">
        <f t="shared" si="3"/>
        <v>1639781.2204821839</v>
      </c>
      <c r="R25" s="176">
        <f t="shared" si="4"/>
        <v>785803.8232669757</v>
      </c>
      <c r="S25" s="176">
        <f t="shared" si="5"/>
        <v>196450.95625084048</v>
      </c>
      <c r="T25" s="415">
        <f t="shared" si="6"/>
        <v>2622036</v>
      </c>
      <c r="U25" s="142">
        <f t="shared" si="1"/>
        <v>47000</v>
      </c>
    </row>
    <row r="26" spans="1:21" s="414" customFormat="1">
      <c r="A26" s="416"/>
      <c r="B26" s="346"/>
      <c r="C26" s="219" t="s">
        <v>504</v>
      </c>
      <c r="D26" s="419">
        <f>SUM(D27:D29)</f>
        <v>8</v>
      </c>
      <c r="E26" s="419"/>
      <c r="F26" s="419">
        <f t="shared" ref="F26:K26" si="9">SUM(F27:F29)</f>
        <v>6</v>
      </c>
      <c r="G26" s="418">
        <f t="shared" si="9"/>
        <v>117.24</v>
      </c>
      <c r="H26" s="418">
        <f t="shared" si="9"/>
        <v>54.1</v>
      </c>
      <c r="I26" s="418">
        <f t="shared" si="9"/>
        <v>63.14</v>
      </c>
      <c r="J26" s="419">
        <f t="shared" si="9"/>
        <v>0</v>
      </c>
      <c r="K26" s="419">
        <f t="shared" si="9"/>
        <v>117.24</v>
      </c>
      <c r="L26" s="188"/>
      <c r="M26" s="420"/>
      <c r="N26" s="421" t="s">
        <v>505</v>
      </c>
      <c r="O26" s="421"/>
      <c r="P26" s="425">
        <f t="shared" si="2"/>
        <v>140.68799999999999</v>
      </c>
      <c r="Q26" s="422">
        <f t="shared" si="3"/>
        <v>4135253.8242488969</v>
      </c>
      <c r="R26" s="422">
        <f t="shared" si="4"/>
        <v>1981665.7397251069</v>
      </c>
      <c r="S26" s="422">
        <f t="shared" si="5"/>
        <v>495416.43602599553</v>
      </c>
      <c r="T26" s="422">
        <f t="shared" si="6"/>
        <v>6612336</v>
      </c>
      <c r="U26" s="414">
        <f t="shared" si="1"/>
        <v>47000.000000000007</v>
      </c>
    </row>
    <row r="27" spans="1:21" ht="38.25">
      <c r="A27" s="177">
        <v>2</v>
      </c>
      <c r="B27" s="180">
        <v>1</v>
      </c>
      <c r="C27" s="179" t="s">
        <v>508</v>
      </c>
      <c r="D27" s="180">
        <v>4</v>
      </c>
      <c r="E27" s="181"/>
      <c r="F27" s="237">
        <v>2</v>
      </c>
      <c r="G27" s="228">
        <v>41.16</v>
      </c>
      <c r="H27" s="184">
        <v>0</v>
      </c>
      <c r="I27" s="185">
        <v>41.16</v>
      </c>
      <c r="J27" s="216"/>
      <c r="K27" s="187">
        <v>41.16</v>
      </c>
      <c r="L27" s="188">
        <f>54.88*3/4</f>
        <v>41.160000000000004</v>
      </c>
      <c r="M27" s="189"/>
      <c r="N27" s="190" t="s">
        <v>509</v>
      </c>
      <c r="O27" s="191"/>
      <c r="P27" s="175">
        <f t="shared" si="2"/>
        <v>49.391999999999996</v>
      </c>
      <c r="Q27" s="176">
        <f t="shared" si="3"/>
        <v>1451783.0723821614</v>
      </c>
      <c r="R27" s="176">
        <f t="shared" si="4"/>
        <v>695712.74178680824</v>
      </c>
      <c r="S27" s="176">
        <f t="shared" si="5"/>
        <v>173928.18583103016</v>
      </c>
      <c r="T27" s="415">
        <f t="shared" si="6"/>
        <v>2321424</v>
      </c>
      <c r="U27" s="142">
        <f t="shared" si="1"/>
        <v>47000.000000000007</v>
      </c>
    </row>
    <row r="28" spans="1:21">
      <c r="A28" s="177">
        <v>3</v>
      </c>
      <c r="B28" s="180">
        <v>2</v>
      </c>
      <c r="C28" s="179" t="s">
        <v>510</v>
      </c>
      <c r="D28" s="180">
        <v>2</v>
      </c>
      <c r="E28" s="181"/>
      <c r="F28" s="227">
        <v>3</v>
      </c>
      <c r="G28" s="228">
        <v>54.1</v>
      </c>
      <c r="H28" s="184">
        <v>54.1</v>
      </c>
      <c r="I28" s="185">
        <v>0</v>
      </c>
      <c r="J28" s="216"/>
      <c r="K28" s="187">
        <v>54.1</v>
      </c>
      <c r="L28" s="195">
        <v>41.7</v>
      </c>
      <c r="M28" s="211" t="s">
        <v>511</v>
      </c>
      <c r="N28" s="190" t="s">
        <v>512</v>
      </c>
      <c r="O28" s="196"/>
      <c r="P28" s="175">
        <f t="shared" si="2"/>
        <v>64.92</v>
      </c>
      <c r="Q28" s="176">
        <f t="shared" si="3"/>
        <v>1908198.8390640169</v>
      </c>
      <c r="R28" s="176">
        <f t="shared" si="4"/>
        <v>914432.928344663</v>
      </c>
      <c r="S28" s="176">
        <f t="shared" si="5"/>
        <v>228608.23259132006</v>
      </c>
      <c r="T28" s="415">
        <f t="shared" si="6"/>
        <v>3051240</v>
      </c>
      <c r="U28" s="142">
        <f t="shared" si="1"/>
        <v>47000</v>
      </c>
    </row>
    <row r="29" spans="1:21" ht="52.9" customHeight="1">
      <c r="A29" s="177">
        <v>6</v>
      </c>
      <c r="B29" s="180">
        <v>4</v>
      </c>
      <c r="C29" s="179" t="s">
        <v>517</v>
      </c>
      <c r="D29" s="180">
        <v>2</v>
      </c>
      <c r="E29" s="181" t="s">
        <v>449</v>
      </c>
      <c r="F29" s="182">
        <v>1</v>
      </c>
      <c r="G29" s="183">
        <v>21.98</v>
      </c>
      <c r="H29" s="184">
        <v>0</v>
      </c>
      <c r="I29" s="185">
        <v>21.98</v>
      </c>
      <c r="J29" s="216"/>
      <c r="K29" s="187">
        <v>21.98</v>
      </c>
      <c r="L29" s="188">
        <f>53.61*410/1000</f>
        <v>21.9801</v>
      </c>
      <c r="M29" s="189"/>
      <c r="N29" s="190" t="s">
        <v>518</v>
      </c>
      <c r="O29" s="191"/>
      <c r="P29" s="175">
        <f t="shared" si="2"/>
        <v>26.376000000000001</v>
      </c>
      <c r="Q29" s="176">
        <f t="shared" si="3"/>
        <v>775271.91280271893</v>
      </c>
      <c r="R29" s="176">
        <f t="shared" si="4"/>
        <v>371520.06959363574</v>
      </c>
      <c r="S29" s="176">
        <f t="shared" si="5"/>
        <v>92880.017603645378</v>
      </c>
      <c r="T29" s="415">
        <f t="shared" si="6"/>
        <v>1239672</v>
      </c>
      <c r="U29" s="142">
        <f t="shared" si="1"/>
        <v>47000</v>
      </c>
    </row>
    <row r="30" spans="1:21" s="414" customFormat="1">
      <c r="A30" s="416"/>
      <c r="B30" s="346"/>
      <c r="C30" s="219" t="s">
        <v>521</v>
      </c>
      <c r="D30" s="419">
        <f>SUM(D31:D34)</f>
        <v>19</v>
      </c>
      <c r="E30" s="419"/>
      <c r="F30" s="419">
        <f t="shared" ref="F30:K30" si="10">SUM(F31:F34)</f>
        <v>11</v>
      </c>
      <c r="G30" s="418">
        <f t="shared" si="10"/>
        <v>227.07000000000002</v>
      </c>
      <c r="H30" s="418">
        <f t="shared" si="10"/>
        <v>227.07000000000002</v>
      </c>
      <c r="I30" s="418">
        <f t="shared" si="10"/>
        <v>0</v>
      </c>
      <c r="J30" s="419">
        <f t="shared" si="10"/>
        <v>0</v>
      </c>
      <c r="K30" s="254">
        <f t="shared" si="10"/>
        <v>227.07000000000002</v>
      </c>
      <c r="L30" s="188"/>
      <c r="M30" s="420"/>
      <c r="N30" s="421"/>
      <c r="O30" s="421"/>
      <c r="P30" s="425">
        <f t="shared" si="2"/>
        <v>272.48400000000004</v>
      </c>
      <c r="Q30" s="422">
        <f t="shared" si="3"/>
        <v>8009144.369431911</v>
      </c>
      <c r="R30" s="422">
        <f t="shared" si="4"/>
        <v>3838082.9027582747</v>
      </c>
      <c r="S30" s="422">
        <f t="shared" si="5"/>
        <v>959520.72780981602</v>
      </c>
      <c r="T30" s="422">
        <f t="shared" si="6"/>
        <v>12806748.000000002</v>
      </c>
      <c r="U30" s="414">
        <f t="shared" si="1"/>
        <v>47000</v>
      </c>
    </row>
    <row r="31" spans="1:21">
      <c r="A31" s="177">
        <v>1</v>
      </c>
      <c r="B31" s="180">
        <v>1</v>
      </c>
      <c r="C31" s="179" t="s">
        <v>522</v>
      </c>
      <c r="D31" s="180">
        <v>5</v>
      </c>
      <c r="E31" s="181"/>
      <c r="F31" s="241">
        <v>4</v>
      </c>
      <c r="G31" s="242">
        <v>77.010000000000005</v>
      </c>
      <c r="H31" s="184">
        <v>77.010000000000005</v>
      </c>
      <c r="I31" s="185">
        <v>0</v>
      </c>
      <c r="J31" s="216"/>
      <c r="K31" s="187">
        <v>77.010000000000005</v>
      </c>
      <c r="L31" s="188">
        <v>77.010000000000005</v>
      </c>
      <c r="M31" s="211"/>
      <c r="N31" s="190" t="s">
        <v>523</v>
      </c>
      <c r="O31" s="196"/>
      <c r="P31" s="175">
        <f t="shared" si="2"/>
        <v>92.412000000000006</v>
      </c>
      <c r="Q31" s="176">
        <f t="shared" si="3"/>
        <v>2716273.4306158954</v>
      </c>
      <c r="R31" s="176">
        <f t="shared" si="4"/>
        <v>1301672.454932024</v>
      </c>
      <c r="S31" s="176">
        <f t="shared" si="5"/>
        <v>325418.11445208057</v>
      </c>
      <c r="T31" s="415">
        <f t="shared" si="6"/>
        <v>4343364</v>
      </c>
      <c r="U31" s="142">
        <f t="shared" si="1"/>
        <v>47000</v>
      </c>
    </row>
    <row r="32" spans="1:21">
      <c r="A32" s="177">
        <v>2</v>
      </c>
      <c r="B32" s="180">
        <v>2</v>
      </c>
      <c r="C32" s="179" t="s">
        <v>524</v>
      </c>
      <c r="D32" s="180">
        <v>5</v>
      </c>
      <c r="E32" s="181"/>
      <c r="F32" s="237">
        <v>2</v>
      </c>
      <c r="G32" s="228">
        <v>40.58</v>
      </c>
      <c r="H32" s="184">
        <v>40.58</v>
      </c>
      <c r="I32" s="185">
        <v>0</v>
      </c>
      <c r="J32" s="216"/>
      <c r="K32" s="187">
        <v>40.58</v>
      </c>
      <c r="L32" s="195">
        <v>31.2</v>
      </c>
      <c r="M32" s="189"/>
      <c r="N32" s="190" t="s">
        <v>525</v>
      </c>
      <c r="O32" s="196"/>
      <c r="P32" s="175">
        <f t="shared" si="2"/>
        <v>48.695999999999998</v>
      </c>
      <c r="Q32" s="176">
        <f t="shared" si="3"/>
        <v>1431325.4877859112</v>
      </c>
      <c r="R32" s="176">
        <f t="shared" si="4"/>
        <v>685909.20946814085</v>
      </c>
      <c r="S32" s="176">
        <f t="shared" si="5"/>
        <v>171477.30274594764</v>
      </c>
      <c r="T32" s="415">
        <f t="shared" si="6"/>
        <v>2288711.9999999995</v>
      </c>
      <c r="U32" s="142">
        <f t="shared" si="1"/>
        <v>46999.999999999993</v>
      </c>
    </row>
    <row r="33" spans="1:21">
      <c r="A33" s="177">
        <v>4</v>
      </c>
      <c r="B33" s="180">
        <v>3</v>
      </c>
      <c r="C33" s="179" t="s">
        <v>528</v>
      </c>
      <c r="D33" s="180">
        <v>4</v>
      </c>
      <c r="E33" s="181"/>
      <c r="F33" s="237">
        <v>2</v>
      </c>
      <c r="G33" s="228">
        <v>46.49</v>
      </c>
      <c r="H33" s="184">
        <v>46.49</v>
      </c>
      <c r="I33" s="185">
        <v>0</v>
      </c>
      <c r="J33" s="216"/>
      <c r="K33" s="187">
        <v>46.49</v>
      </c>
      <c r="L33" s="188">
        <v>38.08</v>
      </c>
      <c r="M33" s="211"/>
      <c r="N33" s="190" t="s">
        <v>523</v>
      </c>
      <c r="O33" s="196"/>
      <c r="P33" s="175">
        <f t="shared" si="2"/>
        <v>55.788000000000004</v>
      </c>
      <c r="Q33" s="176">
        <f t="shared" si="3"/>
        <v>1639781.2204821836</v>
      </c>
      <c r="R33" s="176">
        <f t="shared" si="4"/>
        <v>785803.8232669757</v>
      </c>
      <c r="S33" s="176">
        <f t="shared" si="5"/>
        <v>196450.95625084048</v>
      </c>
      <c r="T33" s="415">
        <f t="shared" si="6"/>
        <v>2622035.9999999995</v>
      </c>
      <c r="U33" s="142">
        <f t="shared" si="1"/>
        <v>46999.999999999985</v>
      </c>
    </row>
    <row r="34" spans="1:21">
      <c r="A34" s="177">
        <v>6</v>
      </c>
      <c r="B34" s="180">
        <v>4</v>
      </c>
      <c r="C34" s="179" t="s">
        <v>531</v>
      </c>
      <c r="D34" s="180">
        <v>5</v>
      </c>
      <c r="E34" s="181"/>
      <c r="F34" s="227">
        <v>3</v>
      </c>
      <c r="G34" s="228">
        <v>62.99</v>
      </c>
      <c r="H34" s="184">
        <v>62.99</v>
      </c>
      <c r="I34" s="185">
        <v>0</v>
      </c>
      <c r="J34" s="216"/>
      <c r="K34" s="187">
        <v>62.99</v>
      </c>
      <c r="L34" s="188">
        <v>62.99</v>
      </c>
      <c r="M34" s="211"/>
      <c r="N34" s="190"/>
      <c r="O34" s="196"/>
      <c r="P34" s="175">
        <f t="shared" si="2"/>
        <v>75.587999999999994</v>
      </c>
      <c r="Q34" s="176">
        <f t="shared" si="3"/>
        <v>2221764.2305479185</v>
      </c>
      <c r="R34" s="176">
        <f t="shared" si="4"/>
        <v>1064697.4150911334</v>
      </c>
      <c r="S34" s="176">
        <f t="shared" si="5"/>
        <v>266174.35436094727</v>
      </c>
      <c r="T34" s="415">
        <f t="shared" si="6"/>
        <v>3552635.9999999991</v>
      </c>
      <c r="U34" s="142">
        <f t="shared" si="1"/>
        <v>46999.999999999993</v>
      </c>
    </row>
    <row r="35" spans="1:21" s="414" customFormat="1">
      <c r="A35" s="416"/>
      <c r="B35" s="346"/>
      <c r="C35" s="219" t="s">
        <v>533</v>
      </c>
      <c r="D35" s="419">
        <f>SUM(D36:D37)</f>
        <v>6</v>
      </c>
      <c r="E35" s="419"/>
      <c r="F35" s="419">
        <f>SUM(F36:F37)</f>
        <v>3</v>
      </c>
      <c r="G35" s="418">
        <f>SUM(G36:G37)</f>
        <v>59.8</v>
      </c>
      <c r="H35" s="418">
        <f>SUM(H36:H37)</f>
        <v>59.8</v>
      </c>
      <c r="I35" s="418">
        <f>SUM(I36:I37)</f>
        <v>0</v>
      </c>
      <c r="J35" s="419">
        <f>SUM(J36:J37)</f>
        <v>0</v>
      </c>
      <c r="K35" s="419">
        <f>G35</f>
        <v>59.8</v>
      </c>
      <c r="L35" s="188"/>
      <c r="M35" s="420"/>
      <c r="N35" s="421" t="s">
        <v>534</v>
      </c>
      <c r="O35" s="421"/>
      <c r="P35" s="425">
        <f t="shared" si="2"/>
        <v>71.759999999999991</v>
      </c>
      <c r="Q35" s="422">
        <f t="shared" si="3"/>
        <v>2109247.5152685428</v>
      </c>
      <c r="R35" s="422">
        <f t="shared" si="4"/>
        <v>1010777.9873384628</v>
      </c>
      <c r="S35" s="422">
        <f t="shared" si="5"/>
        <v>252694.49739299325</v>
      </c>
      <c r="T35" s="422">
        <f t="shared" si="6"/>
        <v>3372719.9999999991</v>
      </c>
      <c r="U35" s="414">
        <f t="shared" si="1"/>
        <v>46999.999999999993</v>
      </c>
    </row>
    <row r="36" spans="1:21">
      <c r="A36" s="177">
        <v>1</v>
      </c>
      <c r="B36" s="180">
        <v>1</v>
      </c>
      <c r="C36" s="179" t="s">
        <v>535</v>
      </c>
      <c r="D36" s="180">
        <v>4</v>
      </c>
      <c r="E36" s="181"/>
      <c r="F36" s="244">
        <v>2</v>
      </c>
      <c r="G36" s="228">
        <f>H36+I36</f>
        <v>34.1</v>
      </c>
      <c r="H36" s="184">
        <v>34.1</v>
      </c>
      <c r="I36" s="185">
        <v>0</v>
      </c>
      <c r="J36" s="216"/>
      <c r="K36" s="180">
        <f>G36</f>
        <v>34.1</v>
      </c>
      <c r="L36" s="236">
        <v>34.200000000000003</v>
      </c>
      <c r="M36" s="211"/>
      <c r="N36" s="190" t="s">
        <v>536</v>
      </c>
      <c r="O36" s="196"/>
      <c r="P36" s="175">
        <f t="shared" si="2"/>
        <v>40.92</v>
      </c>
      <c r="Q36" s="176">
        <f t="shared" si="3"/>
        <v>1202764.887469186</v>
      </c>
      <c r="R36" s="176">
        <f t="shared" si="4"/>
        <v>576380.08976992627</v>
      </c>
      <c r="S36" s="176">
        <f t="shared" si="5"/>
        <v>144095.02276088748</v>
      </c>
      <c r="T36" s="415">
        <f t="shared" si="6"/>
        <v>1923239.9999999998</v>
      </c>
      <c r="U36" s="142">
        <f t="shared" si="1"/>
        <v>46999.999999999993</v>
      </c>
    </row>
    <row r="37" spans="1:21">
      <c r="A37" s="177">
        <v>3</v>
      </c>
      <c r="B37" s="180">
        <v>3</v>
      </c>
      <c r="C37" s="179" t="s">
        <v>539</v>
      </c>
      <c r="D37" s="180">
        <v>2</v>
      </c>
      <c r="E37" s="181" t="s">
        <v>449</v>
      </c>
      <c r="F37" s="182">
        <v>1</v>
      </c>
      <c r="G37" s="183">
        <f>H37+I37</f>
        <v>25.7</v>
      </c>
      <c r="H37" s="184">
        <v>25.7</v>
      </c>
      <c r="I37" s="185">
        <v>0</v>
      </c>
      <c r="J37" s="216"/>
      <c r="K37" s="180">
        <f>G37</f>
        <v>25.7</v>
      </c>
      <c r="L37" s="236">
        <v>25.7</v>
      </c>
      <c r="M37" s="211"/>
      <c r="N37" s="190" t="s">
        <v>540</v>
      </c>
      <c r="O37" s="196"/>
      <c r="P37" s="175">
        <f t="shared" si="2"/>
        <v>30.839999999999996</v>
      </c>
      <c r="Q37" s="176">
        <f t="shared" si="3"/>
        <v>906482.62779935705</v>
      </c>
      <c r="R37" s="176">
        <f t="shared" si="4"/>
        <v>434397.89756853675</v>
      </c>
      <c r="S37" s="176">
        <f t="shared" si="5"/>
        <v>108599.4746321058</v>
      </c>
      <c r="T37" s="415">
        <f t="shared" si="6"/>
        <v>1449479.9999999995</v>
      </c>
      <c r="U37" s="142">
        <f t="shared" si="1"/>
        <v>46999.999999999993</v>
      </c>
    </row>
    <row r="38" spans="1:21" s="414" customFormat="1">
      <c r="A38" s="416"/>
      <c r="B38" s="346"/>
      <c r="C38" s="219" t="s">
        <v>541</v>
      </c>
      <c r="D38" s="417">
        <f>SUM(D39:D39)</f>
        <v>2</v>
      </c>
      <c r="E38" s="417"/>
      <c r="F38" s="417">
        <f>SUM(F39:F39)</f>
        <v>2</v>
      </c>
      <c r="G38" s="418">
        <f>SUM(G39:G39)</f>
        <v>26.5</v>
      </c>
      <c r="H38" s="418">
        <f>SUM(H39:H39)</f>
        <v>26.5</v>
      </c>
      <c r="I38" s="418">
        <f>SUM(I39:I39)</f>
        <v>0</v>
      </c>
      <c r="J38" s="254"/>
      <c r="K38" s="419">
        <f>G38</f>
        <v>26.5</v>
      </c>
      <c r="L38" s="188"/>
      <c r="M38" s="420"/>
      <c r="N38" s="421" t="s">
        <v>542</v>
      </c>
      <c r="O38" s="421"/>
      <c r="P38" s="425">
        <f t="shared" si="2"/>
        <v>31.799999999999997</v>
      </c>
      <c r="Q38" s="422">
        <f t="shared" si="3"/>
        <v>934699.98586315033</v>
      </c>
      <c r="R38" s="422">
        <f t="shared" si="4"/>
        <v>447920.01111152623</v>
      </c>
      <c r="S38" s="422">
        <f t="shared" si="5"/>
        <v>111980.00302532312</v>
      </c>
      <c r="T38" s="422">
        <f t="shared" si="6"/>
        <v>1494599.9999999998</v>
      </c>
      <c r="U38" s="414">
        <f t="shared" si="1"/>
        <v>47000</v>
      </c>
    </row>
    <row r="39" spans="1:21">
      <c r="A39" s="177">
        <v>3</v>
      </c>
      <c r="B39" s="401"/>
      <c r="C39" s="179" t="s">
        <v>547</v>
      </c>
      <c r="D39" s="180">
        <v>2</v>
      </c>
      <c r="E39" s="181"/>
      <c r="F39" s="237">
        <v>2</v>
      </c>
      <c r="G39" s="228">
        <v>26.5</v>
      </c>
      <c r="H39" s="184">
        <v>26.5</v>
      </c>
      <c r="I39" s="185">
        <v>0</v>
      </c>
      <c r="J39" s="216"/>
      <c r="K39" s="180">
        <f>G39</f>
        <v>26.5</v>
      </c>
      <c r="L39" s="195">
        <v>22.65</v>
      </c>
      <c r="M39" s="189"/>
      <c r="N39" s="190" t="s">
        <v>548</v>
      </c>
      <c r="O39" s="196"/>
      <c r="P39" s="175">
        <f t="shared" si="2"/>
        <v>31.799999999999997</v>
      </c>
      <c r="Q39" s="176">
        <f t="shared" si="3"/>
        <v>934699.98586315033</v>
      </c>
      <c r="R39" s="176">
        <f t="shared" si="4"/>
        <v>447920.01111152623</v>
      </c>
      <c r="S39" s="176">
        <f t="shared" si="5"/>
        <v>111980.00302532312</v>
      </c>
      <c r="T39" s="415">
        <f t="shared" si="6"/>
        <v>1494599.9999999998</v>
      </c>
      <c r="U39" s="142">
        <f>T39/P39</f>
        <v>47000</v>
      </c>
    </row>
    <row r="40" spans="1:21" ht="22.15" customHeight="1">
      <c r="A40" s="177" t="e">
        <f>#REF!+A16+A25+#REF!+A34+A37+#REF!</f>
        <v>#REF!</v>
      </c>
      <c r="B40" s="180"/>
      <c r="C40" s="179" t="s">
        <v>532</v>
      </c>
      <c r="D40" s="250">
        <f>D38+D35+D30+D26+D17+D13+D7</f>
        <v>87</v>
      </c>
      <c r="E40" s="250"/>
      <c r="F40" s="250">
        <f t="shared" ref="F40:K40" si="11">F38+F35+F30+F26+F17+F13+F7</f>
        <v>55</v>
      </c>
      <c r="G40" s="184">
        <f t="shared" si="11"/>
        <v>1086.21</v>
      </c>
      <c r="H40" s="184">
        <f t="shared" si="11"/>
        <v>748.29000000000008</v>
      </c>
      <c r="I40" s="243">
        <f t="shared" si="11"/>
        <v>337.92</v>
      </c>
      <c r="J40" s="187">
        <f t="shared" si="11"/>
        <v>0</v>
      </c>
      <c r="K40" s="187">
        <f t="shared" si="11"/>
        <v>1086.21</v>
      </c>
      <c r="L40" s="188"/>
      <c r="M40" s="187"/>
      <c r="N40" s="190"/>
      <c r="O40" s="196"/>
      <c r="P40" s="187">
        <f>P38+P35+P30+P26+P17+P13+P7</f>
        <v>1303.4520000000002</v>
      </c>
      <c r="Q40" s="433">
        <f t="shared" si="3"/>
        <v>38312470.628091045</v>
      </c>
      <c r="R40" s="433">
        <f t="shared" si="4"/>
        <v>18359818.689413246</v>
      </c>
      <c r="S40" s="433">
        <f t="shared" si="5"/>
        <v>4589954.6824957076</v>
      </c>
      <c r="T40" s="433">
        <f>SUM(Q40:S40)</f>
        <v>61262243.999999993</v>
      </c>
      <c r="U40" s="142">
        <f>T40/P40</f>
        <v>46999.999999999985</v>
      </c>
    </row>
    <row r="41" spans="1:21">
      <c r="A41" s="177"/>
      <c r="B41" s="180"/>
      <c r="C41" s="179"/>
      <c r="D41" s="180"/>
      <c r="E41" s="182"/>
      <c r="F41" s="182"/>
      <c r="G41" s="252"/>
      <c r="H41" s="187"/>
      <c r="I41" s="253"/>
      <c r="J41" s="187"/>
      <c r="K41" s="187"/>
      <c r="L41" s="254"/>
      <c r="M41" s="187"/>
      <c r="N41" s="190"/>
      <c r="O41" s="255"/>
    </row>
    <row r="42" spans="1:21">
      <c r="A42" s="632" t="s">
        <v>561</v>
      </c>
      <c r="B42" s="633"/>
      <c r="C42" s="633"/>
      <c r="D42" s="633"/>
      <c r="E42" s="633"/>
      <c r="F42" s="633"/>
      <c r="G42" s="633"/>
      <c r="H42" s="633"/>
      <c r="I42" s="633"/>
      <c r="J42" s="633"/>
      <c r="K42" s="633"/>
      <c r="L42" s="633"/>
      <c r="M42" s="633"/>
      <c r="N42" s="634"/>
      <c r="O42" s="256"/>
      <c r="S42" s="434">
        <f>P40*47000</f>
        <v>61262244.000000007</v>
      </c>
      <c r="T42" s="274">
        <f>T40/P40</f>
        <v>46999.999999999985</v>
      </c>
    </row>
    <row r="43" spans="1:21">
      <c r="A43" s="635"/>
      <c r="B43" s="636"/>
      <c r="C43" s="636"/>
      <c r="D43" s="636"/>
      <c r="E43" s="636"/>
      <c r="F43" s="636"/>
      <c r="G43" s="636"/>
      <c r="H43" s="636"/>
      <c r="I43" s="636"/>
      <c r="J43" s="636"/>
      <c r="K43" s="636"/>
      <c r="L43" s="636"/>
      <c r="M43" s="636"/>
      <c r="N43" s="637"/>
      <c r="O43" s="256"/>
    </row>
    <row r="44" spans="1:21">
      <c r="A44" s="635"/>
      <c r="B44" s="636"/>
      <c r="C44" s="636"/>
      <c r="D44" s="636"/>
      <c r="E44" s="636"/>
      <c r="F44" s="636"/>
      <c r="G44" s="636"/>
      <c r="H44" s="636"/>
      <c r="I44" s="636"/>
      <c r="J44" s="636"/>
      <c r="K44" s="636"/>
      <c r="L44" s="636"/>
      <c r="M44" s="636"/>
      <c r="N44" s="637"/>
      <c r="O44" s="256"/>
    </row>
    <row r="45" spans="1:21">
      <c r="A45" s="638"/>
      <c r="B45" s="639"/>
      <c r="C45" s="639"/>
      <c r="D45" s="639"/>
      <c r="E45" s="639"/>
      <c r="F45" s="639"/>
      <c r="G45" s="639"/>
      <c r="H45" s="639"/>
      <c r="I45" s="639"/>
      <c r="J45" s="639"/>
      <c r="K45" s="639"/>
      <c r="L45" s="639"/>
      <c r="M45" s="639"/>
      <c r="N45" s="640"/>
      <c r="O45" s="256"/>
    </row>
    <row r="46" spans="1:21" ht="30.6" customHeight="1">
      <c r="C46" s="257" t="s">
        <v>562</v>
      </c>
    </row>
    <row r="47" spans="1:21" ht="14.45" hidden="1" customHeight="1"/>
    <row r="48" spans="1:21" ht="14.45" hidden="1" customHeight="1"/>
    <row r="49" spans="1:25" ht="14.45" hidden="1" customHeight="1"/>
    <row r="50" spans="1:25" ht="14.45" hidden="1" customHeight="1"/>
    <row r="51" spans="1:25" ht="14.45" hidden="1" customHeight="1"/>
    <row r="52" spans="1:25" ht="14.45" hidden="1" customHeight="1"/>
    <row r="53" spans="1:25" ht="22.15" customHeight="1">
      <c r="A53" s="549" t="s">
        <v>563</v>
      </c>
      <c r="B53" s="549"/>
      <c r="C53" s="549"/>
    </row>
    <row r="55" spans="1:25" ht="14.45" hidden="1" customHeight="1">
      <c r="A55" s="641" t="s">
        <v>564</v>
      </c>
      <c r="B55" s="642"/>
      <c r="C55" s="642"/>
      <c r="D55" s="642"/>
      <c r="E55" s="642"/>
      <c r="F55" s="642"/>
      <c r="G55" s="642"/>
      <c r="H55" s="642"/>
      <c r="I55" s="642"/>
      <c r="J55" s="642"/>
      <c r="K55" s="642"/>
      <c r="L55" s="642"/>
      <c r="M55" s="642"/>
      <c r="N55" s="642"/>
      <c r="O55" s="642"/>
      <c r="P55" s="642"/>
      <c r="Q55" s="642"/>
      <c r="R55" s="642"/>
      <c r="S55" s="642"/>
      <c r="T55" s="642"/>
      <c r="U55" s="642"/>
      <c r="V55" s="642"/>
      <c r="W55" s="642"/>
      <c r="X55" s="642"/>
      <c r="Y55" s="643"/>
    </row>
    <row r="56" spans="1:25" ht="39.6" hidden="1" customHeight="1">
      <c r="A56" s="260">
        <v>208</v>
      </c>
      <c r="B56" s="644" t="s">
        <v>565</v>
      </c>
      <c r="C56" s="220">
        <v>1</v>
      </c>
      <c r="D56" s="220" t="s">
        <v>566</v>
      </c>
      <c r="E56" s="220"/>
      <c r="F56" s="180">
        <v>4</v>
      </c>
      <c r="G56" s="261">
        <v>2</v>
      </c>
      <c r="H56" s="252">
        <v>34.1</v>
      </c>
      <c r="I56" s="262">
        <v>34.1</v>
      </c>
      <c r="J56" s="252">
        <v>0</v>
      </c>
      <c r="K56" s="179" t="s">
        <v>567</v>
      </c>
      <c r="L56" s="219"/>
      <c r="M56" s="179"/>
      <c r="N56" s="263"/>
      <c r="O56" s="179"/>
      <c r="P56" s="264"/>
      <c r="Q56" s="264"/>
      <c r="R56" s="264"/>
      <c r="S56" s="264"/>
      <c r="T56" s="180"/>
      <c r="U56" s="180"/>
      <c r="V56" s="180"/>
      <c r="W56" s="265"/>
      <c r="X56" s="264"/>
      <c r="Y56" s="264"/>
    </row>
    <row r="57" spans="1:25" ht="52.9" hidden="1" customHeight="1">
      <c r="A57" s="260">
        <v>209</v>
      </c>
      <c r="B57" s="645"/>
      <c r="C57" s="220">
        <v>2</v>
      </c>
      <c r="D57" s="220" t="s">
        <v>566</v>
      </c>
      <c r="E57" s="220"/>
      <c r="F57" s="180">
        <v>0</v>
      </c>
      <c r="G57" s="182">
        <v>1</v>
      </c>
      <c r="H57" s="252">
        <v>16.71</v>
      </c>
      <c r="I57" s="262">
        <v>0</v>
      </c>
      <c r="J57" s="252">
        <v>16.71</v>
      </c>
      <c r="K57" s="179" t="s">
        <v>537</v>
      </c>
      <c r="L57" s="219"/>
      <c r="M57" s="179"/>
      <c r="N57" s="263"/>
      <c r="O57" s="179"/>
      <c r="P57" s="264"/>
      <c r="Q57" s="264"/>
      <c r="R57" s="264"/>
      <c r="S57" s="264"/>
      <c r="T57" s="180"/>
      <c r="U57" s="180"/>
      <c r="V57" s="180"/>
      <c r="W57" s="265"/>
      <c r="X57" s="264"/>
      <c r="Y57" s="264"/>
    </row>
    <row r="58" spans="1:25" ht="43.9" hidden="1" customHeight="1">
      <c r="A58" s="260">
        <v>210</v>
      </c>
      <c r="B58" s="646"/>
      <c r="C58" s="220">
        <v>3</v>
      </c>
      <c r="D58" s="220" t="s">
        <v>566</v>
      </c>
      <c r="E58" s="220"/>
      <c r="F58" s="180">
        <v>2</v>
      </c>
      <c r="G58" s="182">
        <v>2</v>
      </c>
      <c r="H58" s="252">
        <v>25.7</v>
      </c>
      <c r="I58" s="262">
        <v>25.7</v>
      </c>
      <c r="J58" s="252">
        <v>0</v>
      </c>
      <c r="K58" s="179" t="s">
        <v>539</v>
      </c>
      <c r="L58" s="219"/>
      <c r="M58" s="179"/>
      <c r="N58" s="263"/>
      <c r="O58" s="179"/>
      <c r="P58" s="264"/>
      <c r="Q58" s="264"/>
      <c r="R58" s="264"/>
      <c r="S58" s="264"/>
      <c r="T58" s="180"/>
      <c r="U58" s="180"/>
      <c r="V58" s="180"/>
      <c r="W58" s="265"/>
      <c r="X58" s="264"/>
      <c r="Y58" s="264"/>
    </row>
    <row r="59" spans="1:25" ht="14.45" hidden="1" customHeight="1">
      <c r="A59" s="266"/>
      <c r="B59" s="220" t="s">
        <v>568</v>
      </c>
      <c r="C59" s="220"/>
      <c r="D59" s="220">
        <v>3</v>
      </c>
      <c r="E59" s="220"/>
      <c r="F59" s="220">
        <f>SUM(F56:F58)</f>
        <v>6</v>
      </c>
      <c r="G59" s="220">
        <f>SUM(G56:G58)</f>
        <v>5</v>
      </c>
      <c r="H59" s="220">
        <f>SUM(H56:H58)</f>
        <v>76.510000000000005</v>
      </c>
      <c r="I59" s="267">
        <f>SUM(I56:I58)</f>
        <v>59.8</v>
      </c>
      <c r="J59" s="220">
        <f>SUM(J56:J58)</f>
        <v>16.71</v>
      </c>
      <c r="K59" s="252"/>
      <c r="L59" s="268"/>
      <c r="M59" s="252"/>
      <c r="N59" s="269"/>
      <c r="O59" s="252"/>
      <c r="P59" s="270"/>
      <c r="Q59" s="270"/>
      <c r="R59" s="270"/>
      <c r="S59" s="270"/>
      <c r="T59" s="220"/>
      <c r="U59" s="220"/>
      <c r="V59" s="220"/>
      <c r="W59" s="265"/>
      <c r="X59" s="270"/>
      <c r="Y59" s="270"/>
    </row>
    <row r="60" spans="1:25" ht="14.45" hidden="1" customHeight="1"/>
    <row r="61" spans="1:25" s="271" customFormat="1" ht="12.75" hidden="1" customHeight="1">
      <c r="A61" s="641" t="s">
        <v>569</v>
      </c>
      <c r="B61" s="642"/>
      <c r="C61" s="642"/>
      <c r="D61" s="642"/>
      <c r="E61" s="642"/>
      <c r="F61" s="642"/>
      <c r="G61" s="642"/>
      <c r="H61" s="642"/>
      <c r="I61" s="642"/>
      <c r="J61" s="642"/>
      <c r="K61" s="642"/>
      <c r="L61" s="642"/>
      <c r="M61" s="642"/>
      <c r="N61" s="642"/>
      <c r="O61" s="642"/>
      <c r="P61" s="642"/>
      <c r="Q61" s="642"/>
      <c r="R61" s="642"/>
      <c r="S61" s="642"/>
      <c r="T61" s="642"/>
      <c r="U61" s="642"/>
      <c r="V61" s="642"/>
      <c r="W61" s="642"/>
      <c r="X61" s="642"/>
      <c r="Y61" s="643"/>
    </row>
    <row r="62" spans="1:25" s="271" customFormat="1" ht="39.6" hidden="1" customHeight="1">
      <c r="A62" s="260">
        <v>60</v>
      </c>
      <c r="B62" s="629" t="s">
        <v>570</v>
      </c>
      <c r="C62" s="611">
        <v>1</v>
      </c>
      <c r="D62" s="272" t="s">
        <v>571</v>
      </c>
      <c r="E62" s="272"/>
      <c r="F62" s="180">
        <v>1</v>
      </c>
      <c r="G62" s="182">
        <v>1</v>
      </c>
      <c r="H62" s="252">
        <v>19.100000000000001</v>
      </c>
      <c r="I62" s="262">
        <v>19.100000000000001</v>
      </c>
      <c r="J62" s="252">
        <v>0</v>
      </c>
      <c r="K62" s="179" t="s">
        <v>543</v>
      </c>
      <c r="L62" s="219"/>
      <c r="M62" s="179"/>
      <c r="N62" s="263"/>
      <c r="O62" s="179"/>
      <c r="P62" s="264"/>
      <c r="Q62" s="264"/>
      <c r="R62" s="264"/>
      <c r="S62" s="264"/>
      <c r="T62" s="180"/>
      <c r="U62" s="180"/>
      <c r="V62" s="180"/>
      <c r="W62" s="265"/>
      <c r="X62" s="264"/>
      <c r="Y62" s="264"/>
    </row>
    <row r="63" spans="1:25" s="271" customFormat="1" ht="39.6" hidden="1" customHeight="1">
      <c r="A63" s="260">
        <v>61</v>
      </c>
      <c r="B63" s="630"/>
      <c r="C63" s="622"/>
      <c r="D63" s="273" t="s">
        <v>571</v>
      </c>
      <c r="E63" s="273"/>
      <c r="F63" s="180">
        <v>2</v>
      </c>
      <c r="G63" s="182">
        <v>1</v>
      </c>
      <c r="H63" s="252">
        <v>26.49</v>
      </c>
      <c r="I63" s="262">
        <v>0</v>
      </c>
      <c r="J63" s="252">
        <v>26.49</v>
      </c>
      <c r="K63" s="179" t="s">
        <v>544</v>
      </c>
      <c r="L63" s="219"/>
      <c r="M63" s="179"/>
      <c r="N63" s="263"/>
      <c r="O63" s="179"/>
      <c r="P63" s="264"/>
      <c r="Q63" s="264"/>
      <c r="R63" s="264"/>
      <c r="S63" s="264"/>
      <c r="T63" s="180"/>
      <c r="U63" s="180"/>
      <c r="V63" s="180"/>
      <c r="W63" s="265"/>
      <c r="X63" s="264"/>
      <c r="Y63" s="264"/>
    </row>
    <row r="64" spans="1:25" s="271" customFormat="1" ht="52.9" hidden="1" customHeight="1">
      <c r="A64" s="260">
        <v>62</v>
      </c>
      <c r="B64" s="630"/>
      <c r="C64" s="612"/>
      <c r="D64" s="273" t="s">
        <v>571</v>
      </c>
      <c r="E64" s="273"/>
      <c r="F64" s="180">
        <v>2</v>
      </c>
      <c r="G64" s="182">
        <v>1</v>
      </c>
      <c r="H64" s="252">
        <v>26.5</v>
      </c>
      <c r="I64" s="262">
        <v>26.5</v>
      </c>
      <c r="J64" s="252">
        <v>0</v>
      </c>
      <c r="K64" s="179" t="s">
        <v>547</v>
      </c>
      <c r="L64" s="219"/>
      <c r="M64" s="179"/>
      <c r="N64" s="263"/>
      <c r="O64" s="179"/>
      <c r="P64" s="264"/>
      <c r="Q64" s="264"/>
      <c r="R64" s="264"/>
      <c r="S64" s="264"/>
      <c r="T64" s="180"/>
      <c r="U64" s="180"/>
      <c r="V64" s="180"/>
      <c r="W64" s="265"/>
      <c r="X64" s="264"/>
      <c r="Y64" s="264"/>
    </row>
    <row r="65" spans="1:25" s="271" customFormat="1" ht="171.6" hidden="1" customHeight="1">
      <c r="A65" s="260">
        <v>63</v>
      </c>
      <c r="B65" s="630"/>
      <c r="C65" s="611">
        <v>2</v>
      </c>
      <c r="D65" s="273" t="s">
        <v>571</v>
      </c>
      <c r="E65" s="273"/>
      <c r="F65" s="180">
        <v>2</v>
      </c>
      <c r="G65" s="182">
        <v>2</v>
      </c>
      <c r="H65" s="252">
        <v>39.700000000000003</v>
      </c>
      <c r="I65" s="262">
        <v>0</v>
      </c>
      <c r="J65" s="252">
        <v>39.700000000000003</v>
      </c>
      <c r="K65" s="179" t="s">
        <v>549</v>
      </c>
      <c r="L65" s="219"/>
      <c r="M65" s="179"/>
      <c r="N65" s="263"/>
      <c r="O65" s="179"/>
      <c r="P65" s="264"/>
      <c r="Q65" s="264"/>
      <c r="R65" s="264"/>
      <c r="S65" s="264"/>
      <c r="T65" s="180"/>
      <c r="U65" s="180"/>
      <c r="V65" s="180"/>
      <c r="W65" s="265"/>
      <c r="X65" s="264"/>
      <c r="Y65" s="264"/>
    </row>
    <row r="66" spans="1:25" s="271" customFormat="1" ht="211.15" hidden="1" customHeight="1">
      <c r="A66" s="260">
        <v>64</v>
      </c>
      <c r="B66" s="630"/>
      <c r="C66" s="612"/>
      <c r="D66" s="273" t="s">
        <v>571</v>
      </c>
      <c r="E66" s="273"/>
      <c r="F66" s="180">
        <v>1</v>
      </c>
      <c r="G66" s="182">
        <v>1</v>
      </c>
      <c r="H66" s="252">
        <v>20.04</v>
      </c>
      <c r="I66" s="262">
        <v>0</v>
      </c>
      <c r="J66" s="252">
        <v>20.04</v>
      </c>
      <c r="K66" s="179" t="s">
        <v>552</v>
      </c>
      <c r="L66" s="219"/>
      <c r="M66" s="179"/>
      <c r="N66" s="263"/>
      <c r="O66" s="179"/>
      <c r="P66" s="264"/>
      <c r="Q66" s="264"/>
      <c r="R66" s="264"/>
      <c r="S66" s="264"/>
      <c r="T66" s="180"/>
      <c r="U66" s="180"/>
      <c r="V66" s="180"/>
      <c r="W66" s="265"/>
      <c r="X66" s="264"/>
      <c r="Y66" s="264"/>
    </row>
    <row r="67" spans="1:25" s="271" customFormat="1" ht="224.45" hidden="1" customHeight="1">
      <c r="A67" s="260">
        <v>65</v>
      </c>
      <c r="B67" s="630"/>
      <c r="C67" s="220">
        <v>3</v>
      </c>
      <c r="D67" s="273" t="s">
        <v>566</v>
      </c>
      <c r="E67" s="273"/>
      <c r="F67" s="180">
        <v>5</v>
      </c>
      <c r="G67" s="182">
        <v>4</v>
      </c>
      <c r="H67" s="252">
        <v>73.95</v>
      </c>
      <c r="I67" s="262">
        <v>0</v>
      </c>
      <c r="J67" s="252">
        <v>73.95</v>
      </c>
      <c r="K67" s="179" t="s">
        <v>556</v>
      </c>
      <c r="L67" s="219"/>
      <c r="M67" s="179"/>
      <c r="N67" s="263"/>
      <c r="O67" s="179"/>
      <c r="P67" s="264"/>
      <c r="Q67" s="264"/>
      <c r="R67" s="264"/>
      <c r="S67" s="264"/>
      <c r="T67" s="180"/>
      <c r="U67" s="180"/>
      <c r="V67" s="180"/>
      <c r="W67" s="265"/>
      <c r="X67" s="264"/>
      <c r="Y67" s="264"/>
    </row>
    <row r="68" spans="1:25" s="271" customFormat="1" ht="39.6" hidden="1" customHeight="1">
      <c r="A68" s="260">
        <v>66</v>
      </c>
      <c r="B68" s="631"/>
      <c r="C68" s="220">
        <v>4</v>
      </c>
      <c r="D68" s="273" t="s">
        <v>566</v>
      </c>
      <c r="E68" s="273"/>
      <c r="F68" s="180">
        <v>3</v>
      </c>
      <c r="G68" s="182">
        <v>3</v>
      </c>
      <c r="H68" s="252">
        <v>59.24</v>
      </c>
      <c r="I68" s="262">
        <v>0</v>
      </c>
      <c r="J68" s="252">
        <v>59.24</v>
      </c>
      <c r="K68" s="179" t="s">
        <v>559</v>
      </c>
      <c r="L68" s="219"/>
      <c r="M68" s="179"/>
      <c r="N68" s="263"/>
      <c r="O68" s="179"/>
      <c r="P68" s="264"/>
      <c r="Q68" s="264"/>
      <c r="R68" s="264"/>
      <c r="S68" s="264"/>
      <c r="T68" s="180"/>
      <c r="U68" s="180"/>
      <c r="V68" s="180"/>
      <c r="W68" s="265"/>
      <c r="X68" s="264"/>
      <c r="Y68" s="264"/>
    </row>
    <row r="69" spans="1:25" ht="14.45" hidden="1" customHeight="1">
      <c r="A69" s="266"/>
      <c r="B69" s="220" t="s">
        <v>568</v>
      </c>
      <c r="C69" s="220"/>
      <c r="D69" s="220">
        <v>7</v>
      </c>
      <c r="E69" s="220"/>
      <c r="F69" s="220">
        <f>SUM(F62:F68)</f>
        <v>16</v>
      </c>
      <c r="G69" s="220">
        <f>SUM(G62:G68)</f>
        <v>13</v>
      </c>
      <c r="H69" s="220">
        <f>SUM(H62:H68)</f>
        <v>265.02000000000004</v>
      </c>
      <c r="I69" s="267">
        <f>SUM(I62:I68)</f>
        <v>45.6</v>
      </c>
      <c r="J69" s="220">
        <f>SUM(J62:J68)</f>
        <v>219.42000000000002</v>
      </c>
      <c r="K69" s="252"/>
      <c r="L69" s="268"/>
      <c r="M69" s="252"/>
      <c r="N69" s="269"/>
      <c r="O69" s="252"/>
      <c r="P69" s="270"/>
      <c r="Q69" s="270"/>
      <c r="R69" s="270"/>
      <c r="S69" s="270"/>
      <c r="T69" s="220"/>
      <c r="U69" s="220"/>
      <c r="V69" s="220"/>
      <c r="W69" s="265"/>
      <c r="X69" s="270"/>
      <c r="Y69" s="270"/>
    </row>
    <row r="70" spans="1:25" ht="14.45" hidden="1" customHeight="1"/>
    <row r="71" spans="1:25" ht="14.45" hidden="1" customHeight="1"/>
    <row r="72" spans="1:25">
      <c r="G72" s="142" t="s">
        <v>573</v>
      </c>
      <c r="H72" s="142" t="s">
        <v>574</v>
      </c>
      <c r="I72" s="258" t="s">
        <v>575</v>
      </c>
    </row>
    <row r="73" spans="1:25">
      <c r="C73" s="142" t="s">
        <v>572</v>
      </c>
      <c r="G73" s="274" t="e">
        <f>#REF!+#REF!+#REF!+#REF!+#REF!+#REF!+#REF!+#REF!+#REF!+#REF!+#REF!+#REF!+#REF!+#REF!+#REF!+#REF!+#REF!+#REF!</f>
        <v>#REF!</v>
      </c>
      <c r="H73" s="142">
        <v>18</v>
      </c>
      <c r="I73" s="258" t="e">
        <f>#REF!+#REF!+#REF!+#REF!+#REF!+#REF!+#REF!+#REF!+#REF!+#REF!+#REF!+#REF!+#REF!+#REF!+#REF!+#REF!+#REF!+#REF!</f>
        <v>#REF!</v>
      </c>
    </row>
  </sheetData>
  <mergeCells count="21">
    <mergeCell ref="A61:Y61"/>
    <mergeCell ref="H5:H6"/>
    <mergeCell ref="I5:I6"/>
    <mergeCell ref="J5:K5"/>
    <mergeCell ref="B62:B68"/>
    <mergeCell ref="C62:C64"/>
    <mergeCell ref="C65:C66"/>
    <mergeCell ref="A42:N45"/>
    <mergeCell ref="A53:C53"/>
    <mergeCell ref="A55:Y55"/>
    <mergeCell ref="B56:B58"/>
    <mergeCell ref="P5:P6"/>
    <mergeCell ref="Q5:Q6"/>
    <mergeCell ref="R5:R6"/>
    <mergeCell ref="S5:S6"/>
    <mergeCell ref="T5:T6"/>
    <mergeCell ref="A1:N1"/>
    <mergeCell ref="A2:N2"/>
    <mergeCell ref="D5:D6"/>
    <mergeCell ref="F5:F6"/>
    <mergeCell ref="G5:G6"/>
  </mergeCells>
  <phoneticPr fontId="63" type="noConversion"/>
  <pageMargins left="0" right="0" top="0" bottom="0" header="0.31496062992125984" footer="0.31496062992125984"/>
  <pageSetup paperSize="9" scale="57" fitToHeight="2"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H33"/>
  <sheetViews>
    <sheetView workbookViewId="0">
      <selection activeCell="B6" sqref="B6"/>
    </sheetView>
  </sheetViews>
  <sheetFormatPr defaultColWidth="8.85546875" defaultRowHeight="15"/>
  <cols>
    <col min="1" max="1" width="3.7109375" style="337" customWidth="1"/>
    <col min="2" max="2" width="24.5703125" style="337" customWidth="1"/>
    <col min="3" max="4" width="8.85546875" style="337"/>
    <col min="5" max="5" width="9.85546875" style="337" customWidth="1"/>
    <col min="6" max="6" width="15.7109375" style="337" customWidth="1"/>
    <col min="7" max="7" width="8.85546875" style="337"/>
    <col min="8" max="8" width="14.28515625" style="337" customWidth="1"/>
    <col min="9" max="16384" width="8.85546875" style="337"/>
  </cols>
  <sheetData>
    <row r="1" spans="1:8">
      <c r="B1" s="337" t="s">
        <v>731</v>
      </c>
    </row>
    <row r="3" spans="1:8" s="367" customFormat="1" ht="26.45" customHeight="1">
      <c r="A3" s="652" t="s">
        <v>3</v>
      </c>
      <c r="B3" s="652" t="s">
        <v>725</v>
      </c>
      <c r="C3" s="652" t="s">
        <v>727</v>
      </c>
      <c r="D3" s="652"/>
      <c r="E3" s="652"/>
      <c r="F3" s="652" t="s">
        <v>728</v>
      </c>
      <c r="G3" s="653" t="s">
        <v>729</v>
      </c>
      <c r="H3" s="652" t="s">
        <v>730</v>
      </c>
    </row>
    <row r="4" spans="1:8" s="367" customFormat="1" ht="36" customHeight="1">
      <c r="A4" s="652"/>
      <c r="B4" s="652"/>
      <c r="C4" s="368" t="s">
        <v>722</v>
      </c>
      <c r="D4" s="368" t="s">
        <v>723</v>
      </c>
      <c r="E4" s="368" t="s">
        <v>724</v>
      </c>
      <c r="F4" s="652"/>
      <c r="G4" s="654"/>
      <c r="H4" s="652"/>
    </row>
    <row r="5" spans="1:8" s="367" customFormat="1" ht="36" customHeight="1">
      <c r="A5" s="368"/>
      <c r="B5" s="368"/>
      <c r="C5" s="368"/>
      <c r="D5" s="368"/>
      <c r="E5" s="368"/>
      <c r="F5" s="368"/>
      <c r="G5" s="369"/>
      <c r="H5" s="368"/>
    </row>
    <row r="6" spans="1:8" s="367" customFormat="1" ht="36" customHeight="1">
      <c r="A6" s="368">
        <v>1</v>
      </c>
      <c r="B6" s="370" t="s">
        <v>732</v>
      </c>
      <c r="C6" s="368">
        <v>3500</v>
      </c>
      <c r="D6" s="368">
        <v>2500</v>
      </c>
      <c r="E6" s="368">
        <v>2500</v>
      </c>
      <c r="F6" s="371">
        <f>(C6+D6+E6)/3</f>
        <v>2833.3333333333335</v>
      </c>
      <c r="G6" s="368">
        <v>18</v>
      </c>
      <c r="H6" s="372">
        <f>F6*G6</f>
        <v>51000</v>
      </c>
    </row>
    <row r="7" spans="1:8" s="367" customFormat="1" ht="36" customHeight="1">
      <c r="A7" s="368">
        <v>2</v>
      </c>
      <c r="B7" s="370" t="s">
        <v>733</v>
      </c>
      <c r="C7" s="368">
        <v>3500</v>
      </c>
      <c r="D7" s="368">
        <v>2500</v>
      </c>
      <c r="E7" s="368">
        <v>2500</v>
      </c>
      <c r="F7" s="371">
        <f>(C7+D7+E7)/3</f>
        <v>2833.3333333333335</v>
      </c>
      <c r="G7" s="368">
        <v>15</v>
      </c>
      <c r="H7" s="372">
        <f>F7*G7</f>
        <v>42500</v>
      </c>
    </row>
    <row r="8" spans="1:8" s="367" customFormat="1" ht="36" customHeight="1">
      <c r="A8" s="368">
        <v>3</v>
      </c>
      <c r="B8" s="370" t="s">
        <v>734</v>
      </c>
      <c r="C8" s="368">
        <v>3500</v>
      </c>
      <c r="D8" s="368">
        <v>2500</v>
      </c>
      <c r="E8" s="368">
        <v>2500</v>
      </c>
      <c r="F8" s="371">
        <f>(C8+D8+E8)/3</f>
        <v>2833.3333333333335</v>
      </c>
      <c r="G8" s="368">
        <v>4</v>
      </c>
      <c r="H8" s="372">
        <f>F8*G8</f>
        <v>11333.333333333334</v>
      </c>
    </row>
    <row r="9" spans="1:8" s="367" customFormat="1" ht="12">
      <c r="A9" s="373"/>
      <c r="B9" s="373" t="s">
        <v>726</v>
      </c>
      <c r="C9" s="368"/>
      <c r="D9" s="368"/>
      <c r="E9" s="368"/>
      <c r="F9" s="368"/>
      <c r="G9" s="368"/>
      <c r="H9" s="374">
        <f>SUM(H6:H8)</f>
        <v>104833.33333333333</v>
      </c>
    </row>
    <row r="12" spans="1:8" ht="22.9" customHeight="1">
      <c r="A12" s="650"/>
      <c r="B12" s="651"/>
      <c r="C12" s="375" t="s">
        <v>729</v>
      </c>
      <c r="D12" s="375" t="s">
        <v>730</v>
      </c>
      <c r="E12" s="650"/>
      <c r="F12" s="651"/>
      <c r="G12" s="375" t="s">
        <v>729</v>
      </c>
      <c r="H12" s="375" t="s">
        <v>730</v>
      </c>
    </row>
    <row r="13" spans="1:8" ht="22.9" customHeight="1">
      <c r="A13" s="650" t="s">
        <v>150</v>
      </c>
      <c r="B13" s="651"/>
      <c r="C13" s="376">
        <f>SUM(C14:C20)</f>
        <v>18</v>
      </c>
      <c r="D13" s="377">
        <f>C13*2833.3333</f>
        <v>50999.999399999993</v>
      </c>
      <c r="E13" s="650" t="s">
        <v>226</v>
      </c>
      <c r="F13" s="651"/>
      <c r="G13" s="376">
        <f>SUM(G15:G20)</f>
        <v>15</v>
      </c>
      <c r="H13" s="377">
        <f>G13*2833.3333</f>
        <v>42499.999499999998</v>
      </c>
    </row>
    <row r="14" spans="1:8" ht="22.5">
      <c r="A14" s="378" t="s">
        <v>43</v>
      </c>
      <c r="B14" s="379" t="s">
        <v>187</v>
      </c>
      <c r="C14" s="380">
        <v>5</v>
      </c>
      <c r="D14" s="381">
        <f>C14*2833.3333</f>
        <v>14166.666499999999</v>
      </c>
      <c r="E14" s="378" t="s">
        <v>62</v>
      </c>
      <c r="F14" s="379" t="s">
        <v>366</v>
      </c>
      <c r="G14" s="382"/>
      <c r="H14" s="381"/>
    </row>
    <row r="15" spans="1:8" ht="22.5">
      <c r="A15" s="378" t="s">
        <v>45</v>
      </c>
      <c r="B15" s="379" t="s">
        <v>190</v>
      </c>
      <c r="C15" s="382">
        <v>1</v>
      </c>
      <c r="D15" s="381">
        <f t="shared" ref="D15:D24" si="0">C15*2833.3333</f>
        <v>2833.3332999999998</v>
      </c>
      <c r="E15" s="378">
        <v>12</v>
      </c>
      <c r="F15" s="379" t="s">
        <v>265</v>
      </c>
      <c r="G15" s="382">
        <v>1</v>
      </c>
      <c r="H15" s="381">
        <f t="shared" ref="H15:H20" si="1">G15*2833.3333</f>
        <v>2833.3332999999998</v>
      </c>
    </row>
    <row r="16" spans="1:8" ht="33.75">
      <c r="A16" s="378" t="s">
        <v>48</v>
      </c>
      <c r="B16" s="379" t="s">
        <v>363</v>
      </c>
      <c r="C16" s="382"/>
      <c r="D16" s="381">
        <f t="shared" si="0"/>
        <v>0</v>
      </c>
      <c r="E16" s="378" t="s">
        <v>67</v>
      </c>
      <c r="F16" s="379" t="s">
        <v>367</v>
      </c>
      <c r="G16" s="382">
        <v>2</v>
      </c>
      <c r="H16" s="381">
        <f t="shared" si="1"/>
        <v>5666.6665999999996</v>
      </c>
    </row>
    <row r="17" spans="1:8" ht="22.5">
      <c r="A17" s="378" t="s">
        <v>51</v>
      </c>
      <c r="B17" s="379" t="s">
        <v>364</v>
      </c>
      <c r="C17" s="382">
        <v>4</v>
      </c>
      <c r="D17" s="381">
        <f t="shared" si="0"/>
        <v>11333.333199999999</v>
      </c>
      <c r="E17" s="378" t="s">
        <v>69</v>
      </c>
      <c r="F17" s="379" t="s">
        <v>271</v>
      </c>
      <c r="G17" s="382">
        <v>2</v>
      </c>
      <c r="H17" s="381">
        <f t="shared" si="1"/>
        <v>5666.6665999999996</v>
      </c>
    </row>
    <row r="18" spans="1:8" ht="22.5">
      <c r="A18" s="378" t="s">
        <v>55</v>
      </c>
      <c r="B18" s="379" t="s">
        <v>365</v>
      </c>
      <c r="C18" s="382">
        <v>2</v>
      </c>
      <c r="D18" s="381">
        <f t="shared" si="0"/>
        <v>5666.6665999999996</v>
      </c>
      <c r="E18" s="378" t="s">
        <v>71</v>
      </c>
      <c r="F18" s="379" t="s">
        <v>274</v>
      </c>
      <c r="G18" s="382">
        <v>1</v>
      </c>
      <c r="H18" s="381">
        <f t="shared" si="1"/>
        <v>2833.3332999999998</v>
      </c>
    </row>
    <row r="19" spans="1:8" ht="22.5">
      <c r="A19" s="378" t="s">
        <v>57</v>
      </c>
      <c r="B19" s="379" t="s">
        <v>202</v>
      </c>
      <c r="C19" s="382">
        <v>5</v>
      </c>
      <c r="D19" s="381">
        <f t="shared" si="0"/>
        <v>14166.666499999999</v>
      </c>
      <c r="E19" s="378" t="s">
        <v>73</v>
      </c>
      <c r="F19" s="379" t="s">
        <v>368</v>
      </c>
      <c r="G19" s="382">
        <v>9</v>
      </c>
      <c r="H19" s="381">
        <f t="shared" si="1"/>
        <v>25499.999699999997</v>
      </c>
    </row>
    <row r="20" spans="1:8" ht="22.5">
      <c r="A20" s="378" t="s">
        <v>60</v>
      </c>
      <c r="B20" s="379" t="s">
        <v>370</v>
      </c>
      <c r="C20" s="382">
        <v>1</v>
      </c>
      <c r="D20" s="381">
        <f t="shared" si="0"/>
        <v>2833.3332999999998</v>
      </c>
      <c r="E20" s="378" t="s">
        <v>77</v>
      </c>
      <c r="F20" s="379" t="s">
        <v>371</v>
      </c>
      <c r="G20" s="382"/>
      <c r="H20" s="381">
        <f t="shared" si="1"/>
        <v>0</v>
      </c>
    </row>
    <row r="21" spans="1:8" ht="19.899999999999999" customHeight="1">
      <c r="A21" s="650" t="s">
        <v>282</v>
      </c>
      <c r="B21" s="651"/>
      <c r="C21" s="376">
        <f>SUM(C22:C24)</f>
        <v>4</v>
      </c>
      <c r="D21" s="377">
        <f>C21*2833.3333</f>
        <v>11333.333199999999</v>
      </c>
      <c r="E21" s="383"/>
      <c r="F21" s="383"/>
    </row>
    <row r="22" spans="1:8" ht="22.5">
      <c r="A22" s="378" t="s">
        <v>82</v>
      </c>
      <c r="B22" s="379" t="s">
        <v>285</v>
      </c>
      <c r="C22" s="382">
        <v>2</v>
      </c>
      <c r="D22" s="381">
        <f t="shared" si="0"/>
        <v>5666.6665999999996</v>
      </c>
      <c r="E22" s="383"/>
      <c r="F22" s="383"/>
    </row>
    <row r="23" spans="1:8" ht="22.5">
      <c r="A23" s="378" t="s">
        <v>85</v>
      </c>
      <c r="B23" s="379" t="s">
        <v>288</v>
      </c>
      <c r="C23" s="382"/>
      <c r="D23" s="381">
        <f t="shared" si="0"/>
        <v>0</v>
      </c>
      <c r="E23" s="383"/>
      <c r="F23" s="383"/>
    </row>
    <row r="24" spans="1:8" ht="22.5">
      <c r="A24" s="378" t="s">
        <v>88</v>
      </c>
      <c r="B24" s="379" t="s">
        <v>369</v>
      </c>
      <c r="C24" s="382">
        <v>2</v>
      </c>
      <c r="D24" s="381">
        <f t="shared" si="0"/>
        <v>5666.6665999999996</v>
      </c>
      <c r="E24" s="383"/>
      <c r="F24" s="383"/>
    </row>
    <row r="25" spans="1:8">
      <c r="A25" s="647" t="s">
        <v>735</v>
      </c>
      <c r="B25" s="648"/>
      <c r="C25" s="649"/>
      <c r="D25" s="377">
        <f>D21+H13+D13</f>
        <v>104833.3321</v>
      </c>
      <c r="E25" s="383"/>
      <c r="F25" s="383"/>
    </row>
    <row r="26" spans="1:8">
      <c r="E26" s="383"/>
      <c r="F26" s="383"/>
    </row>
    <row r="27" spans="1:8">
      <c r="E27" s="383"/>
      <c r="F27" s="383"/>
    </row>
    <row r="28" spans="1:8">
      <c r="E28" s="383"/>
      <c r="F28" s="383"/>
    </row>
    <row r="29" spans="1:8">
      <c r="E29" s="383"/>
      <c r="F29" s="383"/>
    </row>
    <row r="30" spans="1:8">
      <c r="E30" s="383"/>
      <c r="F30" s="383"/>
    </row>
    <row r="31" spans="1:8">
      <c r="E31" s="383"/>
      <c r="F31" s="383"/>
    </row>
    <row r="32" spans="1:8">
      <c r="E32" s="383"/>
      <c r="F32" s="383"/>
    </row>
    <row r="33" spans="6:6">
      <c r="F33" s="383"/>
    </row>
  </sheetData>
  <mergeCells count="12">
    <mergeCell ref="A25:C25"/>
    <mergeCell ref="A21:B21"/>
    <mergeCell ref="A13:B13"/>
    <mergeCell ref="E13:F13"/>
    <mergeCell ref="H3:H4"/>
    <mergeCell ref="G3:G4"/>
    <mergeCell ref="A12:B12"/>
    <mergeCell ref="E12:F12"/>
    <mergeCell ref="A3:A4"/>
    <mergeCell ref="B3:B4"/>
    <mergeCell ref="C3:E3"/>
    <mergeCell ref="F3:F4"/>
  </mergeCells>
  <phoneticPr fontId="63" type="noConversion"/>
  <printOptions horizontalCentered="1"/>
  <pageMargins left="0.70866141732283472" right="0.51181102362204722" top="0.74803149606299213" bottom="0.74803149606299213"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dimension ref="A1:F11"/>
  <sheetViews>
    <sheetView topLeftCell="A2" workbookViewId="0">
      <selection activeCell="H16" sqref="H16"/>
    </sheetView>
  </sheetViews>
  <sheetFormatPr defaultRowHeight="15"/>
  <cols>
    <col min="2" max="2" width="15" customWidth="1"/>
    <col min="3" max="3" width="12.42578125" bestFit="1" customWidth="1"/>
    <col min="4" max="5" width="11.42578125" bestFit="1" customWidth="1"/>
    <col min="6" max="6" width="12.42578125" bestFit="1" customWidth="1"/>
  </cols>
  <sheetData>
    <row r="1" spans="1:6" hidden="1">
      <c r="B1" s="116">
        <v>15100.536</v>
      </c>
      <c r="C1" s="116">
        <v>9443.6443099999997</v>
      </c>
      <c r="D1" s="116">
        <v>4525.5133519999999</v>
      </c>
      <c r="E1" s="116">
        <v>1131.3783379999995</v>
      </c>
    </row>
    <row r="2" spans="1:6">
      <c r="A2">
        <v>21</v>
      </c>
      <c r="B2" s="384">
        <v>21412.917960000002</v>
      </c>
      <c r="C2" s="384">
        <f>C1/B1*B2</f>
        <v>13391.311464271917</v>
      </c>
      <c r="D2" s="384">
        <f>D1/B1*B2</f>
        <v>6417.2851965824666</v>
      </c>
      <c r="E2" s="384">
        <f>E1/B1*B2</f>
        <v>1604.321299145616</v>
      </c>
      <c r="F2" s="384">
        <f>SUM(C2:E2)</f>
        <v>21412.917959999999</v>
      </c>
    </row>
    <row r="3" spans="1:6">
      <c r="A3">
        <v>22</v>
      </c>
      <c r="B3" s="384">
        <v>21267.03</v>
      </c>
      <c r="C3" s="384">
        <f>C2/B2*B3</f>
        <v>13300.075364881039</v>
      </c>
      <c r="D3" s="384">
        <f>D2/B2*B3</f>
        <v>6373.5637080951665</v>
      </c>
      <c r="E3" s="384">
        <f>E2/B2*B3</f>
        <v>1593.3909270237912</v>
      </c>
      <c r="F3" s="384">
        <f>SUM(C3:E3)</f>
        <v>21267.03</v>
      </c>
    </row>
    <row r="4" spans="1:6">
      <c r="A4">
        <v>23</v>
      </c>
      <c r="B4" s="384">
        <v>4893.6400000000003</v>
      </c>
      <c r="C4" s="384">
        <f>C3/B3*B4</f>
        <v>3060.4076266689076</v>
      </c>
      <c r="D4" s="384">
        <f>D3/B3*B4</f>
        <v>1466.5858986648741</v>
      </c>
      <c r="E4" s="384">
        <f>E3/B3*B4</f>
        <v>366.64647466621835</v>
      </c>
      <c r="F4" s="384">
        <f>SUM(C4:E4)</f>
        <v>4893.6400000000003</v>
      </c>
    </row>
    <row r="5" spans="1:6">
      <c r="B5" s="385">
        <f>SUM(B2:B4)</f>
        <v>47573.587960000004</v>
      </c>
    </row>
    <row r="7" spans="1:6">
      <c r="B7" s="338">
        <v>32104008</v>
      </c>
      <c r="C7" s="338">
        <f>C2/B2*B7</f>
        <v>20077355.696340479</v>
      </c>
      <c r="D7" s="338">
        <f>D2/B2*B7</f>
        <v>9621321.8429276161</v>
      </c>
      <c r="E7" s="338">
        <f>E2/B2*B7</f>
        <v>2405330.4607319031</v>
      </c>
      <c r="F7" s="338">
        <f>SUM(C7:E7)</f>
        <v>32104008</v>
      </c>
    </row>
    <row r="8" spans="1:6">
      <c r="B8" s="338">
        <v>32104008</v>
      </c>
      <c r="C8" s="338">
        <v>20077355.696340479</v>
      </c>
      <c r="D8" s="338">
        <v>9621321.8429276161</v>
      </c>
      <c r="E8" s="338">
        <v>2405330.4607319031</v>
      </c>
      <c r="F8" s="338">
        <v>32104008</v>
      </c>
    </row>
    <row r="9" spans="1:6">
      <c r="B9" s="384"/>
      <c r="C9" s="384"/>
      <c r="D9" s="384"/>
      <c r="E9" s="384"/>
      <c r="F9" s="384"/>
    </row>
    <row r="10" spans="1:6">
      <c r="B10" s="384"/>
      <c r="C10" s="384"/>
      <c r="D10" s="384"/>
      <c r="E10" s="384"/>
      <c r="F10" s="384"/>
    </row>
    <row r="11" spans="1:6">
      <c r="B11" s="384"/>
      <c r="C11" s="384"/>
      <c r="D11" s="384"/>
      <c r="E11" s="384"/>
      <c r="F11" s="384"/>
    </row>
  </sheetData>
  <phoneticPr fontId="63"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outlinePr summaryBelow="0"/>
    <pageSetUpPr fitToPage="1"/>
  </sheetPr>
  <dimension ref="A2:K21"/>
  <sheetViews>
    <sheetView showGridLines="0" workbookViewId="0">
      <selection activeCell="G23" sqref="G23"/>
    </sheetView>
  </sheetViews>
  <sheetFormatPr defaultColWidth="8.85546875" defaultRowHeight="12.75" customHeight="1"/>
  <cols>
    <col min="1" max="1" width="34.7109375" style="386" customWidth="1"/>
    <col min="2" max="9" width="16.5703125" style="386" customWidth="1"/>
    <col min="10" max="10" width="16.7109375" style="386" customWidth="1"/>
    <col min="11" max="16384" width="8.85546875" style="386"/>
  </cols>
  <sheetData>
    <row r="2" spans="1:11" ht="15.4" customHeight="1">
      <c r="A2" s="655" t="s">
        <v>738</v>
      </c>
      <c r="B2" s="656"/>
      <c r="C2" s="656"/>
      <c r="D2" s="656"/>
      <c r="E2" s="656"/>
      <c r="F2" s="656"/>
      <c r="G2" s="656"/>
      <c r="H2" s="656"/>
      <c r="I2" s="656"/>
      <c r="J2" s="656"/>
      <c r="K2" s="656"/>
    </row>
    <row r="3" spans="1:11">
      <c r="A3" s="387" t="s">
        <v>739</v>
      </c>
    </row>
    <row r="4" spans="1:11">
      <c r="A4" s="388"/>
      <c r="B4" s="389"/>
      <c r="C4" s="389"/>
      <c r="D4" s="389"/>
      <c r="E4" s="389"/>
      <c r="F4" s="389"/>
    </row>
    <row r="5" spans="1:11" ht="84.6" customHeight="1">
      <c r="A5" s="657" t="s">
        <v>740</v>
      </c>
      <c r="B5" s="658"/>
      <c r="C5" s="658"/>
      <c r="D5" s="658"/>
      <c r="E5" s="658"/>
      <c r="F5" s="658"/>
      <c r="G5" s="658"/>
      <c r="H5" s="658"/>
      <c r="I5" s="658"/>
    </row>
    <row r="6" spans="1:11">
      <c r="A6" s="388"/>
      <c r="B6" s="389"/>
      <c r="C6" s="389"/>
      <c r="D6" s="389"/>
      <c r="E6" s="389"/>
      <c r="F6" s="389"/>
    </row>
    <row r="7" spans="1:11">
      <c r="A7" s="387" t="s">
        <v>741</v>
      </c>
    </row>
    <row r="8" spans="1:11" s="392" customFormat="1" ht="51.6" customHeight="1">
      <c r="A8" s="390" t="s">
        <v>742</v>
      </c>
      <c r="B8" s="391" t="s">
        <v>743</v>
      </c>
      <c r="C8" s="391" t="s">
        <v>752</v>
      </c>
      <c r="D8" s="391" t="s">
        <v>755</v>
      </c>
      <c r="E8" s="391" t="s">
        <v>744</v>
      </c>
      <c r="F8" s="391" t="s">
        <v>750</v>
      </c>
      <c r="G8" s="391" t="s">
        <v>755</v>
      </c>
      <c r="H8" s="391" t="s">
        <v>745</v>
      </c>
      <c r="I8" s="391" t="s">
        <v>751</v>
      </c>
      <c r="J8" s="391" t="s">
        <v>755</v>
      </c>
    </row>
    <row r="9" spans="1:11" s="392" customFormat="1" ht="13.9" customHeight="1">
      <c r="A9" s="400"/>
      <c r="B9" s="391" t="s">
        <v>753</v>
      </c>
      <c r="C9" s="391" t="s">
        <v>754</v>
      </c>
      <c r="D9" s="391" t="s">
        <v>754</v>
      </c>
      <c r="E9" s="391" t="s">
        <v>753</v>
      </c>
      <c r="F9" s="391" t="s">
        <v>754</v>
      </c>
      <c r="G9" s="391" t="s">
        <v>754</v>
      </c>
      <c r="H9" s="391" t="s">
        <v>753</v>
      </c>
      <c r="I9" s="391" t="s">
        <v>754</v>
      </c>
      <c r="J9" s="391" t="s">
        <v>754</v>
      </c>
    </row>
    <row r="10" spans="1:11" s="392" customFormat="1" ht="24.6" customHeight="1">
      <c r="A10" s="393" t="s">
        <v>746</v>
      </c>
      <c r="B10" s="394">
        <f>SUM(B11:B13)</f>
        <v>66194400</v>
      </c>
      <c r="C10" s="394">
        <f t="shared" ref="C10:J10" si="0">SUM(C11:C13)</f>
        <v>97040.711999999985</v>
      </c>
      <c r="D10" s="395">
        <f t="shared" si="0"/>
        <v>30846311.999999993</v>
      </c>
      <c r="E10" s="394">
        <f t="shared" si="0"/>
        <v>87234720</v>
      </c>
      <c r="F10" s="394">
        <f t="shared" si="0"/>
        <v>106827.23999789856</v>
      </c>
      <c r="G10" s="395">
        <f t="shared" si="0"/>
        <v>19592519.997898564</v>
      </c>
      <c r="H10" s="394">
        <f>SUM(H11:H13)</f>
        <v>54387840.000000007</v>
      </c>
      <c r="I10" s="394">
        <f t="shared" si="0"/>
        <v>40316.976004879994</v>
      </c>
      <c r="J10" s="395">
        <f t="shared" si="0"/>
        <v>-14070863.995120009</v>
      </c>
    </row>
    <row r="11" spans="1:11" s="392" customFormat="1" ht="24.6" customHeight="1">
      <c r="A11" s="396" t="s">
        <v>747</v>
      </c>
      <c r="B11" s="397">
        <v>32557137.739999998</v>
      </c>
      <c r="C11" s="397">
        <f>A17</f>
        <v>60687.777419999991</v>
      </c>
      <c r="D11" s="398">
        <f>C11*1000-B11</f>
        <v>28130639.679999996</v>
      </c>
      <c r="E11" s="397">
        <v>57642267.670000002</v>
      </c>
      <c r="F11" s="399">
        <f>A19</f>
        <v>58893.761605977401</v>
      </c>
      <c r="G11" s="398">
        <f>F11*1000-E11</f>
        <v>1251493.9359773993</v>
      </c>
      <c r="H11" s="397">
        <v>35937966.340000004</v>
      </c>
      <c r="I11" s="397">
        <f>A21</f>
        <v>26084.125593999997</v>
      </c>
      <c r="J11" s="398">
        <f>I11*1000-H11</f>
        <v>-9853840.7460000068</v>
      </c>
    </row>
    <row r="12" spans="1:11" s="392" customFormat="1" ht="24.6" customHeight="1">
      <c r="A12" s="396" t="s">
        <v>748</v>
      </c>
      <c r="B12" s="397">
        <v>26909809.800000001</v>
      </c>
      <c r="C12" s="397">
        <f>B17</f>
        <v>29082.347663999997</v>
      </c>
      <c r="D12" s="398">
        <f>C12*1000-B12</f>
        <v>2172537.8639999963</v>
      </c>
      <c r="E12" s="397">
        <v>23673961.859999999</v>
      </c>
      <c r="F12" s="399">
        <f>B19</f>
        <v>38346.782713218083</v>
      </c>
      <c r="G12" s="398">
        <f>F12*1000-E12</f>
        <v>14672820.853218086</v>
      </c>
      <c r="H12" s="397">
        <v>14759898.92</v>
      </c>
      <c r="I12" s="397">
        <f>B21</f>
        <v>11386.280330879998</v>
      </c>
      <c r="J12" s="398">
        <f>I12*1000-H12</f>
        <v>-3373618.5891200025</v>
      </c>
    </row>
    <row r="13" spans="1:11" s="392" customFormat="1" ht="24.6" customHeight="1">
      <c r="A13" s="396" t="s">
        <v>749</v>
      </c>
      <c r="B13" s="397">
        <v>6727452.46</v>
      </c>
      <c r="C13" s="397">
        <f>C17</f>
        <v>7270.5869159999993</v>
      </c>
      <c r="D13" s="398">
        <f>C13*1000-B13</f>
        <v>543134.45599999931</v>
      </c>
      <c r="E13" s="397">
        <v>5918490.4699999997</v>
      </c>
      <c r="F13" s="399">
        <f>C19</f>
        <v>9586.6956787030795</v>
      </c>
      <c r="G13" s="398">
        <f>F13*1000-E13</f>
        <v>3668205.2087030793</v>
      </c>
      <c r="H13" s="397">
        <v>3689974.74</v>
      </c>
      <c r="I13" s="397">
        <f>C21</f>
        <v>2846.57008</v>
      </c>
      <c r="J13" s="398">
        <f>I13*1000-H13</f>
        <v>-843404.66000000015</v>
      </c>
    </row>
    <row r="17" spans="1:3" ht="12.75" customHeight="1">
      <c r="A17" s="386">
        <v>60687.777419999991</v>
      </c>
      <c r="B17" s="386">
        <v>29082.347663999997</v>
      </c>
      <c r="C17" s="386">
        <v>7270.5869159999993</v>
      </c>
    </row>
    <row r="19" spans="1:3" ht="12.75" customHeight="1">
      <c r="A19" s="386">
        <v>58893.761605977401</v>
      </c>
      <c r="B19" s="386">
        <v>38346.782713218083</v>
      </c>
      <c r="C19" s="386">
        <v>9586.6956787030795</v>
      </c>
    </row>
    <row r="21" spans="1:3" ht="12.75" customHeight="1">
      <c r="A21" s="386">
        <v>26084.125593999997</v>
      </c>
      <c r="B21" s="386">
        <v>11386.280330879998</v>
      </c>
      <c r="C21" s="386">
        <v>2846.57008</v>
      </c>
    </row>
  </sheetData>
  <mergeCells count="2">
    <mergeCell ref="A2:K2"/>
    <mergeCell ref="A5:I5"/>
  </mergeCells>
  <phoneticPr fontId="63" type="noConversion"/>
  <printOptions horizontalCentered="1"/>
  <pageMargins left="0" right="0" top="0.98425196850393704" bottom="0.98425196850393704" header="0.51181102362204722" footer="0.51181102362204722"/>
  <pageSetup paperSize="9" scale="75" orientation="landscape" r:id="rId1"/>
  <headerFooter alignWithMargins="0"/>
</worksheet>
</file>

<file path=xl/worksheets/sheet17.xml><?xml version="1.0" encoding="utf-8"?>
<worksheet xmlns="http://schemas.openxmlformats.org/spreadsheetml/2006/main" xmlns:r="http://schemas.openxmlformats.org/officeDocument/2006/relationships">
  <dimension ref="B1:D16"/>
  <sheetViews>
    <sheetView workbookViewId="0">
      <selection activeCell="B16" sqref="B16:D16"/>
    </sheetView>
  </sheetViews>
  <sheetFormatPr defaultRowHeight="15"/>
  <cols>
    <col min="2" max="3" width="13.85546875" bestFit="1" customWidth="1"/>
    <col min="4" max="4" width="12.7109375" bestFit="1" customWidth="1"/>
  </cols>
  <sheetData>
    <row r="1" spans="2:4">
      <c r="B1" s="409">
        <f>SUM(B2:B10)</f>
        <v>98147280</v>
      </c>
      <c r="C1" s="409">
        <f>SUM(C2:C10)</f>
        <v>78517824</v>
      </c>
      <c r="D1" s="409">
        <f>SUM(D2:D10)</f>
        <v>19629456</v>
      </c>
    </row>
    <row r="2" spans="2:4">
      <c r="B2" s="338">
        <f t="shared" ref="B2:B11" si="0">SUM(C2:D2)</f>
        <v>3607908</v>
      </c>
      <c r="C2" s="338">
        <v>2886326.4</v>
      </c>
      <c r="D2" s="338">
        <v>721581.6</v>
      </c>
    </row>
    <row r="3" spans="2:4">
      <c r="B3" s="338">
        <f t="shared" si="0"/>
        <v>14695584</v>
      </c>
      <c r="C3" s="338">
        <v>11756467.199999999</v>
      </c>
      <c r="D3" s="338">
        <v>2939116.8</v>
      </c>
    </row>
    <row r="4" spans="2:4">
      <c r="B4" s="338">
        <f t="shared" si="0"/>
        <v>13709148</v>
      </c>
      <c r="C4" s="338">
        <v>10967318.4</v>
      </c>
      <c r="D4" s="338">
        <v>2741829.6</v>
      </c>
    </row>
    <row r="5" spans="2:4">
      <c r="B5" s="338">
        <f t="shared" si="0"/>
        <v>25045548</v>
      </c>
      <c r="C5" s="338">
        <v>20036438.399999999</v>
      </c>
      <c r="D5" s="338">
        <v>5009109.5999999996</v>
      </c>
    </row>
    <row r="6" spans="2:4">
      <c r="B6" s="338">
        <f t="shared" si="0"/>
        <v>12669696</v>
      </c>
      <c r="C6" s="338">
        <v>10135756.800000001</v>
      </c>
      <c r="D6" s="338">
        <v>2533939.2000000002</v>
      </c>
    </row>
    <row r="7" spans="2:4">
      <c r="B7" s="338">
        <f t="shared" si="0"/>
        <v>10210092</v>
      </c>
      <c r="C7" s="338">
        <v>8168073.5999999996</v>
      </c>
      <c r="D7" s="338">
        <v>2042018.4</v>
      </c>
    </row>
    <row r="8" spans="2:4">
      <c r="B8" s="338">
        <f t="shared" si="0"/>
        <v>5848116</v>
      </c>
      <c r="C8" s="338">
        <v>4678492.8</v>
      </c>
      <c r="D8" s="338">
        <v>1169623.2</v>
      </c>
    </row>
    <row r="9" spans="2:4">
      <c r="B9" s="338">
        <f t="shared" si="0"/>
        <v>8504556</v>
      </c>
      <c r="C9" s="338">
        <v>6803644.7999999998</v>
      </c>
      <c r="D9" s="338">
        <v>1700911.2</v>
      </c>
    </row>
    <row r="10" spans="2:4">
      <c r="B10" s="338">
        <f t="shared" si="0"/>
        <v>3856632</v>
      </c>
      <c r="C10" s="338">
        <v>3085305.6</v>
      </c>
      <c r="D10" s="338">
        <v>771326.4</v>
      </c>
    </row>
    <row r="11" spans="2:4">
      <c r="B11" s="338">
        <f t="shared" si="0"/>
        <v>0</v>
      </c>
    </row>
    <row r="12" spans="2:4" s="110" customFormat="1">
      <c r="B12" s="409">
        <f>SUM(B13:B14)</f>
        <v>27903900</v>
      </c>
      <c r="C12" s="409">
        <f>SUM(C13:C14)</f>
        <v>22323120</v>
      </c>
      <c r="D12" s="409">
        <f>SUM(D13:D14)</f>
        <v>5580780</v>
      </c>
    </row>
    <row r="13" spans="2:4">
      <c r="B13" s="338">
        <f>SUM(C13:D13)</f>
        <v>20803140</v>
      </c>
      <c r="C13">
        <v>16642512</v>
      </c>
      <c r="D13">
        <v>4160628</v>
      </c>
    </row>
    <row r="14" spans="2:4">
      <c r="B14" s="338">
        <f>SUM(C14:D14)</f>
        <v>7100760</v>
      </c>
      <c r="C14">
        <v>5680608</v>
      </c>
      <c r="D14">
        <v>1420152</v>
      </c>
    </row>
    <row r="16" spans="2:4">
      <c r="B16" s="338">
        <f>B12+B1</f>
        <v>126051180</v>
      </c>
      <c r="C16" s="338">
        <f>C12+C1</f>
        <v>100840944</v>
      </c>
      <c r="D16" s="338">
        <f>D12+D1</f>
        <v>25210236</v>
      </c>
    </row>
  </sheetData>
  <phoneticPr fontId="63"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C2:C154"/>
  <sheetViews>
    <sheetView workbookViewId="0">
      <selection activeCell="C2" sqref="C2:C154"/>
    </sheetView>
  </sheetViews>
  <sheetFormatPr defaultRowHeight="15"/>
  <sheetData>
    <row r="2" spans="3:3" ht="25.5">
      <c r="C2" s="45" t="s">
        <v>204</v>
      </c>
    </row>
    <row r="3" spans="3:3" ht="25.5">
      <c r="C3" s="45" t="s">
        <v>204</v>
      </c>
    </row>
    <row r="4" spans="3:3" ht="25.5">
      <c r="C4" s="45" t="s">
        <v>204</v>
      </c>
    </row>
    <row r="5" spans="3:3" ht="25.5">
      <c r="C5" s="45" t="s">
        <v>204</v>
      </c>
    </row>
    <row r="6" spans="3:3" ht="25.5">
      <c r="C6" s="45" t="s">
        <v>204</v>
      </c>
    </row>
    <row r="7" spans="3:3" ht="25.5">
      <c r="C7" s="45" t="s">
        <v>204</v>
      </c>
    </row>
    <row r="8" spans="3:3" ht="25.5">
      <c r="C8" s="45" t="s">
        <v>204</v>
      </c>
    </row>
    <row r="9" spans="3:3" ht="25.5">
      <c r="C9" s="45" t="s">
        <v>204</v>
      </c>
    </row>
    <row r="10" spans="3:3" ht="25.5">
      <c r="C10" s="45" t="s">
        <v>204</v>
      </c>
    </row>
    <row r="11" spans="3:3" ht="25.5">
      <c r="C11" s="45" t="s">
        <v>204</v>
      </c>
    </row>
    <row r="12" spans="3:3" ht="25.5">
      <c r="C12" s="45" t="s">
        <v>204</v>
      </c>
    </row>
    <row r="13" spans="3:3" ht="25.5">
      <c r="C13" s="45" t="s">
        <v>204</v>
      </c>
    </row>
    <row r="14" spans="3:3" ht="25.5">
      <c r="C14" s="45" t="s">
        <v>204</v>
      </c>
    </row>
    <row r="15" spans="3:3" ht="25.5">
      <c r="C15" s="45" t="s">
        <v>204</v>
      </c>
    </row>
    <row r="16" spans="3:3" ht="25.5">
      <c r="C16" s="45" t="s">
        <v>204</v>
      </c>
    </row>
    <row r="17" spans="3:3" ht="25.5">
      <c r="C17" s="45" t="s">
        <v>204</v>
      </c>
    </row>
    <row r="18" spans="3:3" ht="25.5">
      <c r="C18" s="45" t="s">
        <v>204</v>
      </c>
    </row>
    <row r="19" spans="3:3" ht="25.5">
      <c r="C19" s="45" t="s">
        <v>204</v>
      </c>
    </row>
    <row r="20" spans="3:3" ht="25.5">
      <c r="C20" s="45" t="s">
        <v>204</v>
      </c>
    </row>
    <row r="21" spans="3:3" ht="25.5">
      <c r="C21" s="45" t="s">
        <v>204</v>
      </c>
    </row>
    <row r="22" spans="3:3" ht="25.5">
      <c r="C22" s="45" t="s">
        <v>204</v>
      </c>
    </row>
    <row r="23" spans="3:3" ht="25.5">
      <c r="C23" s="45" t="s">
        <v>204</v>
      </c>
    </row>
    <row r="24" spans="3:3" ht="25.5">
      <c r="C24" s="45" t="s">
        <v>204</v>
      </c>
    </row>
    <row r="25" spans="3:3" ht="25.5">
      <c r="C25" s="45" t="s">
        <v>204</v>
      </c>
    </row>
    <row r="26" spans="3:3" ht="25.5">
      <c r="C26" s="45" t="s">
        <v>204</v>
      </c>
    </row>
    <row r="27" spans="3:3" ht="25.5">
      <c r="C27" s="45" t="s">
        <v>204</v>
      </c>
    </row>
    <row r="28" spans="3:3" ht="25.5">
      <c r="C28" s="45" t="s">
        <v>204</v>
      </c>
    </row>
    <row r="29" spans="3:3" ht="25.5">
      <c r="C29" s="45" t="s">
        <v>204</v>
      </c>
    </row>
    <row r="30" spans="3:3" ht="25.5">
      <c r="C30" s="45" t="s">
        <v>204</v>
      </c>
    </row>
    <row r="31" spans="3:3" ht="25.5">
      <c r="C31" s="45" t="s">
        <v>204</v>
      </c>
    </row>
    <row r="32" spans="3:3" ht="25.5">
      <c r="C32" s="45" t="s">
        <v>204</v>
      </c>
    </row>
    <row r="33" spans="3:3" ht="25.5">
      <c r="C33" s="45" t="s">
        <v>204</v>
      </c>
    </row>
    <row r="34" spans="3:3" ht="25.5">
      <c r="C34" s="45" t="s">
        <v>204</v>
      </c>
    </row>
    <row r="35" spans="3:3" ht="25.5">
      <c r="C35" s="45" t="s">
        <v>204</v>
      </c>
    </row>
    <row r="36" spans="3:3" ht="25.5">
      <c r="C36" s="45" t="s">
        <v>204</v>
      </c>
    </row>
    <row r="37" spans="3:3" ht="25.5">
      <c r="C37" s="45" t="s">
        <v>204</v>
      </c>
    </row>
    <row r="38" spans="3:3" ht="25.5">
      <c r="C38" s="45" t="s">
        <v>204</v>
      </c>
    </row>
    <row r="39" spans="3:3" ht="25.5">
      <c r="C39" s="45" t="s">
        <v>204</v>
      </c>
    </row>
    <row r="40" spans="3:3" ht="25.5">
      <c r="C40" s="45" t="s">
        <v>204</v>
      </c>
    </row>
    <row r="41" spans="3:3" ht="25.5">
      <c r="C41" s="45" t="s">
        <v>204</v>
      </c>
    </row>
    <row r="42" spans="3:3" ht="25.5">
      <c r="C42" s="45" t="s">
        <v>204</v>
      </c>
    </row>
    <row r="43" spans="3:3" ht="25.5">
      <c r="C43" s="45" t="s">
        <v>204</v>
      </c>
    </row>
    <row r="44" spans="3:3" ht="25.5">
      <c r="C44" s="45" t="s">
        <v>204</v>
      </c>
    </row>
    <row r="45" spans="3:3" ht="25.5">
      <c r="C45" s="45" t="s">
        <v>204</v>
      </c>
    </row>
    <row r="46" spans="3:3" ht="25.5">
      <c r="C46" s="45" t="s">
        <v>204</v>
      </c>
    </row>
    <row r="47" spans="3:3" ht="25.5">
      <c r="C47" s="45" t="s">
        <v>204</v>
      </c>
    </row>
    <row r="48" spans="3:3" ht="25.5">
      <c r="C48" s="45" t="s">
        <v>204</v>
      </c>
    </row>
    <row r="49" spans="3:3" ht="25.5">
      <c r="C49" s="45" t="s">
        <v>204</v>
      </c>
    </row>
    <row r="50" spans="3:3" ht="25.5">
      <c r="C50" s="45" t="s">
        <v>204</v>
      </c>
    </row>
    <row r="51" spans="3:3" ht="25.5">
      <c r="C51" s="45" t="s">
        <v>204</v>
      </c>
    </row>
    <row r="52" spans="3:3" ht="25.5">
      <c r="C52" s="45" t="s">
        <v>204</v>
      </c>
    </row>
    <row r="53" spans="3:3" ht="25.5">
      <c r="C53" s="45" t="s">
        <v>204</v>
      </c>
    </row>
    <row r="54" spans="3:3" ht="25.5">
      <c r="C54" s="45" t="s">
        <v>204</v>
      </c>
    </row>
    <row r="55" spans="3:3" ht="25.5">
      <c r="C55" s="45" t="s">
        <v>204</v>
      </c>
    </row>
    <row r="56" spans="3:3" ht="25.5">
      <c r="C56" s="45" t="s">
        <v>204</v>
      </c>
    </row>
    <row r="57" spans="3:3" ht="25.5">
      <c r="C57" s="45" t="s">
        <v>204</v>
      </c>
    </row>
    <row r="58" spans="3:3" ht="25.5">
      <c r="C58" s="45" t="s">
        <v>204</v>
      </c>
    </row>
    <row r="59" spans="3:3" ht="25.5">
      <c r="C59" s="45" t="s">
        <v>204</v>
      </c>
    </row>
    <row r="60" spans="3:3" ht="25.5">
      <c r="C60" s="45" t="s">
        <v>204</v>
      </c>
    </row>
    <row r="61" spans="3:3" ht="25.5">
      <c r="C61" s="45" t="s">
        <v>204</v>
      </c>
    </row>
    <row r="62" spans="3:3" ht="25.5">
      <c r="C62" s="45" t="s">
        <v>204</v>
      </c>
    </row>
    <row r="63" spans="3:3" ht="25.5">
      <c r="C63" s="45" t="s">
        <v>204</v>
      </c>
    </row>
    <row r="64" spans="3:3" ht="25.5">
      <c r="C64" s="45" t="s">
        <v>204</v>
      </c>
    </row>
    <row r="65" spans="3:3" ht="25.5">
      <c r="C65" s="45" t="s">
        <v>204</v>
      </c>
    </row>
    <row r="66" spans="3:3" ht="25.5">
      <c r="C66" s="45" t="s">
        <v>204</v>
      </c>
    </row>
    <row r="67" spans="3:3" ht="25.5">
      <c r="C67" s="45" t="s">
        <v>204</v>
      </c>
    </row>
    <row r="68" spans="3:3" ht="25.5">
      <c r="C68" s="45" t="s">
        <v>204</v>
      </c>
    </row>
    <row r="69" spans="3:3" ht="25.5">
      <c r="C69" s="45" t="s">
        <v>204</v>
      </c>
    </row>
    <row r="70" spans="3:3" ht="25.5">
      <c r="C70" s="45" t="s">
        <v>204</v>
      </c>
    </row>
    <row r="71" spans="3:3" ht="25.5">
      <c r="C71" s="45" t="s">
        <v>204</v>
      </c>
    </row>
    <row r="72" spans="3:3" ht="25.5">
      <c r="C72" s="45" t="s">
        <v>204</v>
      </c>
    </row>
    <row r="73" spans="3:3" ht="25.5">
      <c r="C73" s="45" t="s">
        <v>204</v>
      </c>
    </row>
    <row r="74" spans="3:3" ht="25.5">
      <c r="C74" s="45" t="s">
        <v>204</v>
      </c>
    </row>
    <row r="75" spans="3:3" ht="25.5">
      <c r="C75" s="45" t="s">
        <v>204</v>
      </c>
    </row>
    <row r="76" spans="3:3" ht="25.5">
      <c r="C76" s="45" t="s">
        <v>204</v>
      </c>
    </row>
    <row r="77" spans="3:3" ht="25.5">
      <c r="C77" s="45" t="s">
        <v>204</v>
      </c>
    </row>
    <row r="78" spans="3:3" ht="25.5">
      <c r="C78" s="45" t="s">
        <v>204</v>
      </c>
    </row>
    <row r="79" spans="3:3" ht="25.5">
      <c r="C79" s="45" t="s">
        <v>204</v>
      </c>
    </row>
    <row r="80" spans="3:3" ht="25.5">
      <c r="C80" s="45" t="s">
        <v>204</v>
      </c>
    </row>
    <row r="81" spans="3:3" ht="25.5">
      <c r="C81" s="45" t="s">
        <v>204</v>
      </c>
    </row>
    <row r="82" spans="3:3" ht="25.5">
      <c r="C82" s="45" t="s">
        <v>204</v>
      </c>
    </row>
    <row r="83" spans="3:3" ht="25.5">
      <c r="C83" s="45" t="s">
        <v>204</v>
      </c>
    </row>
    <row r="84" spans="3:3" ht="25.5">
      <c r="C84" s="45" t="s">
        <v>204</v>
      </c>
    </row>
    <row r="85" spans="3:3" ht="25.5">
      <c r="C85" s="45" t="s">
        <v>204</v>
      </c>
    </row>
    <row r="86" spans="3:3" ht="25.5">
      <c r="C86" s="45" t="s">
        <v>204</v>
      </c>
    </row>
    <row r="87" spans="3:3" ht="25.5">
      <c r="C87" s="45" t="s">
        <v>204</v>
      </c>
    </row>
    <row r="88" spans="3:3" ht="25.5">
      <c r="C88" s="45" t="s">
        <v>204</v>
      </c>
    </row>
    <row r="89" spans="3:3" ht="25.5">
      <c r="C89" s="45" t="s">
        <v>204</v>
      </c>
    </row>
    <row r="90" spans="3:3" ht="25.5">
      <c r="C90" s="45" t="s">
        <v>204</v>
      </c>
    </row>
    <row r="91" spans="3:3" ht="25.5">
      <c r="C91" s="45" t="s">
        <v>204</v>
      </c>
    </row>
    <row r="92" spans="3:3" ht="25.5">
      <c r="C92" s="45" t="s">
        <v>204</v>
      </c>
    </row>
    <row r="93" spans="3:3" ht="25.5">
      <c r="C93" s="45" t="s">
        <v>204</v>
      </c>
    </row>
    <row r="94" spans="3:3" ht="25.5">
      <c r="C94" s="45" t="s">
        <v>204</v>
      </c>
    </row>
    <row r="95" spans="3:3" ht="25.5">
      <c r="C95" s="45" t="s">
        <v>204</v>
      </c>
    </row>
    <row r="96" spans="3:3" ht="25.5">
      <c r="C96" s="45" t="s">
        <v>204</v>
      </c>
    </row>
    <row r="97" spans="3:3" ht="25.5">
      <c r="C97" s="45" t="s">
        <v>204</v>
      </c>
    </row>
    <row r="98" spans="3:3" ht="25.5">
      <c r="C98" s="45" t="s">
        <v>204</v>
      </c>
    </row>
    <row r="99" spans="3:3" ht="25.5">
      <c r="C99" s="45" t="s">
        <v>204</v>
      </c>
    </row>
    <row r="100" spans="3:3" ht="25.5">
      <c r="C100" s="45" t="s">
        <v>204</v>
      </c>
    </row>
    <row r="101" spans="3:3" ht="25.5">
      <c r="C101" s="45" t="s">
        <v>204</v>
      </c>
    </row>
    <row r="102" spans="3:3" ht="25.5">
      <c r="C102" s="45" t="s">
        <v>204</v>
      </c>
    </row>
    <row r="103" spans="3:3" ht="25.5">
      <c r="C103" s="45" t="s">
        <v>204</v>
      </c>
    </row>
    <row r="104" spans="3:3" ht="25.5">
      <c r="C104" s="45" t="s">
        <v>204</v>
      </c>
    </row>
    <row r="105" spans="3:3" ht="25.5">
      <c r="C105" s="45" t="s">
        <v>204</v>
      </c>
    </row>
    <row r="106" spans="3:3" ht="25.5">
      <c r="C106" s="45" t="s">
        <v>204</v>
      </c>
    </row>
    <row r="107" spans="3:3" ht="25.5">
      <c r="C107" s="45" t="s">
        <v>204</v>
      </c>
    </row>
    <row r="108" spans="3:3" ht="25.5">
      <c r="C108" s="45" t="s">
        <v>204</v>
      </c>
    </row>
    <row r="109" spans="3:3" ht="25.5">
      <c r="C109" s="45" t="s">
        <v>204</v>
      </c>
    </row>
    <row r="110" spans="3:3" ht="25.5">
      <c r="C110" s="45" t="s">
        <v>204</v>
      </c>
    </row>
    <row r="111" spans="3:3" ht="25.5">
      <c r="C111" s="45" t="s">
        <v>204</v>
      </c>
    </row>
    <row r="112" spans="3:3" ht="25.5">
      <c r="C112" s="45" t="s">
        <v>204</v>
      </c>
    </row>
    <row r="113" spans="3:3" ht="25.5">
      <c r="C113" s="45" t="s">
        <v>204</v>
      </c>
    </row>
    <row r="114" spans="3:3" ht="25.5">
      <c r="C114" s="45" t="s">
        <v>204</v>
      </c>
    </row>
    <row r="115" spans="3:3" ht="25.5">
      <c r="C115" s="45" t="s">
        <v>204</v>
      </c>
    </row>
    <row r="116" spans="3:3" ht="25.5">
      <c r="C116" s="45" t="s">
        <v>204</v>
      </c>
    </row>
    <row r="117" spans="3:3" ht="25.5">
      <c r="C117" s="45" t="s">
        <v>204</v>
      </c>
    </row>
    <row r="118" spans="3:3" ht="25.5">
      <c r="C118" s="45" t="s">
        <v>204</v>
      </c>
    </row>
    <row r="119" spans="3:3" ht="25.5">
      <c r="C119" s="45" t="s">
        <v>204</v>
      </c>
    </row>
    <row r="120" spans="3:3" ht="25.5">
      <c r="C120" s="45" t="s">
        <v>204</v>
      </c>
    </row>
    <row r="121" spans="3:3" ht="25.5">
      <c r="C121" s="45" t="s">
        <v>204</v>
      </c>
    </row>
    <row r="122" spans="3:3" ht="25.5">
      <c r="C122" s="45" t="s">
        <v>204</v>
      </c>
    </row>
    <row r="123" spans="3:3" ht="25.5">
      <c r="C123" s="45" t="s">
        <v>204</v>
      </c>
    </row>
    <row r="124" spans="3:3" ht="25.5">
      <c r="C124" s="45" t="s">
        <v>204</v>
      </c>
    </row>
    <row r="125" spans="3:3" ht="25.5">
      <c r="C125" s="45" t="s">
        <v>204</v>
      </c>
    </row>
    <row r="126" spans="3:3" ht="25.5">
      <c r="C126" s="45" t="s">
        <v>204</v>
      </c>
    </row>
    <row r="127" spans="3:3" ht="25.5">
      <c r="C127" s="45" t="s">
        <v>204</v>
      </c>
    </row>
    <row r="128" spans="3:3" ht="25.5">
      <c r="C128" s="45" t="s">
        <v>204</v>
      </c>
    </row>
    <row r="129" spans="3:3" ht="25.5">
      <c r="C129" s="45" t="s">
        <v>204</v>
      </c>
    </row>
    <row r="130" spans="3:3" ht="25.5">
      <c r="C130" s="45" t="s">
        <v>204</v>
      </c>
    </row>
    <row r="131" spans="3:3" ht="25.5">
      <c r="C131" s="45" t="s">
        <v>204</v>
      </c>
    </row>
    <row r="132" spans="3:3" ht="25.5">
      <c r="C132" s="45" t="s">
        <v>204</v>
      </c>
    </row>
    <row r="133" spans="3:3" ht="25.5">
      <c r="C133" s="45" t="s">
        <v>204</v>
      </c>
    </row>
    <row r="134" spans="3:3" ht="25.5">
      <c r="C134" s="45" t="s">
        <v>204</v>
      </c>
    </row>
    <row r="135" spans="3:3" ht="25.5">
      <c r="C135" s="45" t="s">
        <v>204</v>
      </c>
    </row>
    <row r="136" spans="3:3" ht="25.5">
      <c r="C136" s="45" t="s">
        <v>204</v>
      </c>
    </row>
    <row r="137" spans="3:3" ht="25.5">
      <c r="C137" s="45" t="s">
        <v>204</v>
      </c>
    </row>
    <row r="138" spans="3:3" ht="25.5">
      <c r="C138" s="45" t="s">
        <v>204</v>
      </c>
    </row>
    <row r="139" spans="3:3" ht="25.5">
      <c r="C139" s="45" t="s">
        <v>204</v>
      </c>
    </row>
    <row r="140" spans="3:3" ht="25.5">
      <c r="C140" s="45" t="s">
        <v>204</v>
      </c>
    </row>
    <row r="141" spans="3:3" ht="25.5">
      <c r="C141" s="45" t="s">
        <v>204</v>
      </c>
    </row>
    <row r="142" spans="3:3" ht="25.5">
      <c r="C142" s="45" t="s">
        <v>204</v>
      </c>
    </row>
    <row r="143" spans="3:3" ht="25.5">
      <c r="C143" s="45" t="s">
        <v>204</v>
      </c>
    </row>
    <row r="144" spans="3:3" ht="25.5">
      <c r="C144" s="45" t="s">
        <v>204</v>
      </c>
    </row>
    <row r="145" spans="3:3" ht="25.5">
      <c r="C145" s="45" t="s">
        <v>204</v>
      </c>
    </row>
    <row r="146" spans="3:3" ht="25.5">
      <c r="C146" s="45" t="s">
        <v>204</v>
      </c>
    </row>
    <row r="147" spans="3:3" ht="25.5">
      <c r="C147" s="45" t="s">
        <v>204</v>
      </c>
    </row>
    <row r="148" spans="3:3" ht="25.5">
      <c r="C148" s="45" t="s">
        <v>204</v>
      </c>
    </row>
    <row r="149" spans="3:3" ht="25.5">
      <c r="C149" s="45" t="s">
        <v>204</v>
      </c>
    </row>
    <row r="150" spans="3:3" ht="25.5">
      <c r="C150" s="45" t="s">
        <v>204</v>
      </c>
    </row>
    <row r="151" spans="3:3" ht="25.5">
      <c r="C151" s="45" t="s">
        <v>204</v>
      </c>
    </row>
    <row r="152" spans="3:3" ht="25.5">
      <c r="C152" s="45" t="s">
        <v>204</v>
      </c>
    </row>
    <row r="153" spans="3:3" ht="25.5">
      <c r="C153" s="45" t="s">
        <v>204</v>
      </c>
    </row>
    <row r="154" spans="3:3" ht="25.5">
      <c r="C154" s="45" t="s">
        <v>204</v>
      </c>
    </row>
  </sheetData>
  <phoneticPr fontId="63"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
  <sheetViews>
    <sheetView workbookViewId="0">
      <selection activeCell="L16" sqref="L16"/>
    </sheetView>
  </sheetViews>
  <sheetFormatPr defaultRowHeight="15"/>
  <sheetData/>
  <phoneticPr fontId="6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00B0F0"/>
    <pageSetUpPr fitToPage="1"/>
  </sheetPr>
  <dimension ref="A1:T26"/>
  <sheetViews>
    <sheetView topLeftCell="A9" workbookViewId="0">
      <selection activeCell="Q22" sqref="Q22"/>
    </sheetView>
  </sheetViews>
  <sheetFormatPr defaultRowHeight="15"/>
  <cols>
    <col min="2" max="2" width="21.7109375" customWidth="1"/>
    <col min="3" max="3" width="8.140625" customWidth="1"/>
    <col min="4" max="4" width="9.28515625" customWidth="1"/>
    <col min="5" max="5" width="10" customWidth="1"/>
    <col min="6" max="6" width="10.28515625" customWidth="1"/>
    <col min="7" max="7" width="8.140625" customWidth="1"/>
    <col min="8" max="8" width="9.42578125" customWidth="1"/>
    <col min="9" max="10" width="8.140625" customWidth="1"/>
    <col min="11" max="11" width="10.42578125" customWidth="1"/>
    <col min="12" max="20" width="8.140625" customWidth="1"/>
  </cols>
  <sheetData>
    <row r="1" spans="1:20">
      <c r="H1">
        <v>13</v>
      </c>
      <c r="N1" s="82" t="s">
        <v>323</v>
      </c>
    </row>
    <row r="2" spans="1:20">
      <c r="N2" s="82" t="s">
        <v>294</v>
      </c>
    </row>
    <row r="3" spans="1:20">
      <c r="N3" s="82" t="s">
        <v>295</v>
      </c>
    </row>
    <row r="4" spans="1:20">
      <c r="N4" s="82" t="s">
        <v>296</v>
      </c>
    </row>
    <row r="5" spans="1:20">
      <c r="N5" s="82"/>
    </row>
    <row r="6" spans="1:20">
      <c r="N6" s="82" t="s">
        <v>766</v>
      </c>
    </row>
    <row r="7" spans="1:20" ht="56.45" customHeight="1">
      <c r="N7" s="503" t="s">
        <v>297</v>
      </c>
      <c r="O7" s="504"/>
      <c r="P7" s="504"/>
      <c r="Q7" s="504"/>
      <c r="R7" s="504"/>
      <c r="S7" s="504"/>
      <c r="T7" s="504"/>
    </row>
    <row r="8" spans="1:20">
      <c r="I8" s="74" t="s">
        <v>324</v>
      </c>
    </row>
    <row r="9" spans="1:20">
      <c r="I9" s="74" t="s">
        <v>325</v>
      </c>
    </row>
    <row r="10" spans="1:20">
      <c r="I10" s="79" t="s">
        <v>326</v>
      </c>
    </row>
    <row r="11" spans="1:20">
      <c r="I11" s="80" t="s">
        <v>327</v>
      </c>
    </row>
    <row r="12" spans="1:20">
      <c r="I12" s="80"/>
    </row>
    <row r="13" spans="1:20" s="84" customFormat="1" ht="12.6" customHeight="1">
      <c r="A13" s="505" t="s">
        <v>3</v>
      </c>
      <c r="B13" s="506" t="s">
        <v>303</v>
      </c>
      <c r="C13" s="506" t="s">
        <v>328</v>
      </c>
      <c r="D13" s="506"/>
      <c r="E13" s="506"/>
      <c r="F13" s="506"/>
      <c r="G13" s="506"/>
      <c r="H13" s="506"/>
      <c r="I13" s="506"/>
      <c r="J13" s="506"/>
      <c r="K13" s="506"/>
      <c r="L13" s="506" t="s">
        <v>329</v>
      </c>
      <c r="M13" s="506"/>
      <c r="N13" s="506"/>
      <c r="O13" s="506"/>
      <c r="P13" s="506"/>
      <c r="Q13" s="506"/>
      <c r="R13" s="506"/>
      <c r="S13" s="506"/>
      <c r="T13" s="506"/>
    </row>
    <row r="14" spans="1:20" s="84" customFormat="1" ht="11.25">
      <c r="A14" s="505"/>
      <c r="B14" s="506"/>
      <c r="C14" s="93" t="s">
        <v>330</v>
      </c>
      <c r="D14" s="93" t="s">
        <v>331</v>
      </c>
      <c r="E14" s="93" t="s">
        <v>332</v>
      </c>
      <c r="F14" s="93" t="s">
        <v>333</v>
      </c>
      <c r="G14" s="93" t="s">
        <v>334</v>
      </c>
      <c r="H14" s="93" t="s">
        <v>335</v>
      </c>
      <c r="I14" s="93" t="s">
        <v>336</v>
      </c>
      <c r="J14" s="93" t="s">
        <v>337</v>
      </c>
      <c r="K14" s="93" t="s">
        <v>13</v>
      </c>
      <c r="L14" s="93" t="s">
        <v>330</v>
      </c>
      <c r="M14" s="93" t="s">
        <v>331</v>
      </c>
      <c r="N14" s="93" t="s">
        <v>332</v>
      </c>
      <c r="O14" s="93" t="s">
        <v>333</v>
      </c>
      <c r="P14" s="93" t="s">
        <v>334</v>
      </c>
      <c r="Q14" s="93" t="s">
        <v>335</v>
      </c>
      <c r="R14" s="93" t="s">
        <v>336</v>
      </c>
      <c r="S14" s="93" t="s">
        <v>338</v>
      </c>
      <c r="T14" s="93" t="s">
        <v>13</v>
      </c>
    </row>
    <row r="15" spans="1:20" s="84" customFormat="1" ht="11.25">
      <c r="A15" s="505"/>
      <c r="B15" s="506"/>
      <c r="C15" s="93" t="s">
        <v>25</v>
      </c>
      <c r="D15" s="93" t="s">
        <v>25</v>
      </c>
      <c r="E15" s="93" t="s">
        <v>25</v>
      </c>
      <c r="F15" s="93" t="s">
        <v>25</v>
      </c>
      <c r="G15" s="93" t="s">
        <v>25</v>
      </c>
      <c r="H15" s="93" t="s">
        <v>25</v>
      </c>
      <c r="I15" s="93" t="s">
        <v>25</v>
      </c>
      <c r="J15" s="93" t="s">
        <v>25</v>
      </c>
      <c r="K15" s="93" t="s">
        <v>25</v>
      </c>
      <c r="L15" s="93" t="s">
        <v>23</v>
      </c>
      <c r="M15" s="93" t="s">
        <v>23</v>
      </c>
      <c r="N15" s="93" t="s">
        <v>23</v>
      </c>
      <c r="O15" s="93" t="s">
        <v>23</v>
      </c>
      <c r="P15" s="93" t="s">
        <v>23</v>
      </c>
      <c r="Q15" s="93" t="s">
        <v>23</v>
      </c>
      <c r="R15" s="93" t="s">
        <v>23</v>
      </c>
      <c r="S15" s="93" t="s">
        <v>23</v>
      </c>
      <c r="T15" s="93" t="s">
        <v>23</v>
      </c>
    </row>
    <row r="16" spans="1:20" s="84" customFormat="1" ht="11.25">
      <c r="A16" s="85">
        <v>1</v>
      </c>
      <c r="B16" s="93">
        <v>2</v>
      </c>
      <c r="C16" s="93">
        <v>4</v>
      </c>
      <c r="D16" s="93">
        <v>5</v>
      </c>
      <c r="E16" s="93">
        <v>6</v>
      </c>
      <c r="F16" s="93">
        <v>7</v>
      </c>
      <c r="G16" s="93">
        <v>8</v>
      </c>
      <c r="H16" s="93">
        <v>9</v>
      </c>
      <c r="I16" s="93">
        <v>10</v>
      </c>
      <c r="J16" s="93">
        <v>11</v>
      </c>
      <c r="K16" s="93">
        <v>12</v>
      </c>
      <c r="L16" s="93">
        <v>13</v>
      </c>
      <c r="M16" s="93">
        <v>14</v>
      </c>
      <c r="N16" s="93">
        <v>15</v>
      </c>
      <c r="O16" s="93">
        <v>16</v>
      </c>
      <c r="P16" s="93">
        <v>17</v>
      </c>
      <c r="Q16" s="93">
        <v>18</v>
      </c>
      <c r="R16" s="93">
        <v>19</v>
      </c>
      <c r="S16" s="93">
        <v>20</v>
      </c>
      <c r="T16" s="93">
        <v>21</v>
      </c>
    </row>
    <row r="17" spans="1:20" s="84" customFormat="1" ht="43.9" customHeight="1">
      <c r="A17" s="97">
        <v>1</v>
      </c>
      <c r="B17" s="94" t="s">
        <v>339</v>
      </c>
      <c r="C17" s="95">
        <f t="shared" ref="C17:J17" si="0">SUM(C18:C20)</f>
        <v>474.81</v>
      </c>
      <c r="D17" s="95">
        <f t="shared" si="0"/>
        <v>756.13</v>
      </c>
      <c r="E17" s="95">
        <f t="shared" si="0"/>
        <v>1720.5800000000002</v>
      </c>
      <c r="F17" s="95">
        <f t="shared" si="0"/>
        <v>2608.94</v>
      </c>
      <c r="G17" s="95">
        <f t="shared" si="0"/>
        <v>0</v>
      </c>
      <c r="H17" s="95">
        <f t="shared" si="0"/>
        <v>0</v>
      </c>
      <c r="I17" s="95">
        <f t="shared" si="0"/>
        <v>0</v>
      </c>
      <c r="J17" s="95">
        <f t="shared" si="0"/>
        <v>0</v>
      </c>
      <c r="K17" s="95">
        <f t="shared" ref="K17:K23" si="1">SUM(C17:J17)</f>
        <v>5560.4600000000009</v>
      </c>
      <c r="L17" s="98">
        <f t="shared" ref="L17:S17" si="2">SUM(L18:L20)</f>
        <v>43</v>
      </c>
      <c r="M17" s="98">
        <f t="shared" si="2"/>
        <v>73</v>
      </c>
      <c r="N17" s="98">
        <f t="shared" si="2"/>
        <v>131</v>
      </c>
      <c r="O17" s="98">
        <f t="shared" si="2"/>
        <v>244</v>
      </c>
      <c r="P17" s="98">
        <f t="shared" si="2"/>
        <v>0</v>
      </c>
      <c r="Q17" s="98">
        <f t="shared" si="2"/>
        <v>0</v>
      </c>
      <c r="R17" s="98">
        <f t="shared" si="2"/>
        <v>0</v>
      </c>
      <c r="S17" s="98">
        <f t="shared" si="2"/>
        <v>0</v>
      </c>
      <c r="T17" s="98">
        <f>SUM(L17:S17)</f>
        <v>491</v>
      </c>
    </row>
    <row r="18" spans="1:20" s="84" customFormat="1" ht="24" customHeight="1">
      <c r="A18" s="97" t="s">
        <v>409</v>
      </c>
      <c r="B18" s="94" t="s">
        <v>320</v>
      </c>
      <c r="C18" s="95">
        <v>474.81</v>
      </c>
      <c r="D18" s="95">
        <v>756.13</v>
      </c>
      <c r="E18" s="95">
        <v>0</v>
      </c>
      <c r="F18" s="95">
        <v>0</v>
      </c>
      <c r="G18" s="95">
        <v>0</v>
      </c>
      <c r="H18" s="95">
        <v>0</v>
      </c>
      <c r="I18" s="95">
        <v>0</v>
      </c>
      <c r="J18" s="95">
        <v>0</v>
      </c>
      <c r="K18" s="95">
        <f t="shared" si="1"/>
        <v>1230.94</v>
      </c>
      <c r="L18" s="437">
        <v>43</v>
      </c>
      <c r="M18" s="438">
        <v>73</v>
      </c>
      <c r="N18" s="98">
        <v>0</v>
      </c>
      <c r="O18" s="98">
        <v>0</v>
      </c>
      <c r="P18" s="98">
        <v>0</v>
      </c>
      <c r="Q18" s="98">
        <v>0</v>
      </c>
      <c r="R18" s="98">
        <v>0</v>
      </c>
      <c r="S18" s="98">
        <v>0</v>
      </c>
      <c r="T18" s="98">
        <f t="shared" ref="T18:T23" si="3">SUM(L18:S18)</f>
        <v>116</v>
      </c>
    </row>
    <row r="19" spans="1:20" s="84" customFormat="1" ht="24" customHeight="1">
      <c r="A19" s="97" t="s">
        <v>410</v>
      </c>
      <c r="B19" s="94" t="s">
        <v>321</v>
      </c>
      <c r="C19" s="95">
        <v>0</v>
      </c>
      <c r="D19" s="95">
        <v>0</v>
      </c>
      <c r="E19" s="95">
        <f>'приложение 2'!C24</f>
        <v>1720.5800000000002</v>
      </c>
      <c r="F19" s="95">
        <v>0</v>
      </c>
      <c r="G19" s="95">
        <v>0</v>
      </c>
      <c r="H19" s="95">
        <v>0</v>
      </c>
      <c r="I19" s="95">
        <v>0</v>
      </c>
      <c r="J19" s="95">
        <v>0</v>
      </c>
      <c r="K19" s="95">
        <f t="shared" si="1"/>
        <v>1720.5800000000002</v>
      </c>
      <c r="L19" s="99">
        <v>0</v>
      </c>
      <c r="M19" s="98">
        <v>0</v>
      </c>
      <c r="N19" s="98">
        <f>ДИМИТРОВград!G103</f>
        <v>131</v>
      </c>
      <c r="O19" s="98">
        <v>0</v>
      </c>
      <c r="P19" s="98">
        <v>0</v>
      </c>
      <c r="Q19" s="98">
        <v>0</v>
      </c>
      <c r="R19" s="98">
        <v>0</v>
      </c>
      <c r="S19" s="98">
        <v>0</v>
      </c>
      <c r="T19" s="98">
        <f t="shared" si="3"/>
        <v>131</v>
      </c>
    </row>
    <row r="20" spans="1:20" s="84" customFormat="1" ht="24" customHeight="1">
      <c r="A20" s="97" t="s">
        <v>411</v>
      </c>
      <c r="B20" s="94" t="s">
        <v>322</v>
      </c>
      <c r="C20" s="95">
        <v>0</v>
      </c>
      <c r="D20" s="95">
        <v>0</v>
      </c>
      <c r="E20" s="95">
        <v>0</v>
      </c>
      <c r="F20" s="95">
        <f>'приложение 2'!C25</f>
        <v>2608.94</v>
      </c>
      <c r="G20" s="95">
        <v>0</v>
      </c>
      <c r="H20" s="95">
        <v>0</v>
      </c>
      <c r="I20" s="95">
        <v>0</v>
      </c>
      <c r="J20" s="95">
        <v>0</v>
      </c>
      <c r="K20" s="95">
        <f t="shared" si="1"/>
        <v>2608.94</v>
      </c>
      <c r="L20" s="99">
        <v>0</v>
      </c>
      <c r="M20" s="98">
        <v>0</v>
      </c>
      <c r="N20" s="98">
        <v>0</v>
      </c>
      <c r="O20" s="98">
        <f>ДИМИТРОВград!G136</f>
        <v>244</v>
      </c>
      <c r="P20" s="98">
        <v>0</v>
      </c>
      <c r="Q20" s="98">
        <v>0</v>
      </c>
      <c r="R20" s="98">
        <v>0</v>
      </c>
      <c r="S20" s="98">
        <v>0</v>
      </c>
      <c r="T20" s="98">
        <f t="shared" si="3"/>
        <v>244</v>
      </c>
    </row>
    <row r="21" spans="1:20" s="84" customFormat="1" ht="43.15" customHeight="1">
      <c r="A21" s="97">
        <v>2</v>
      </c>
      <c r="B21" s="94" t="s">
        <v>340</v>
      </c>
      <c r="C21" s="95">
        <f>SUM(C22:C23)</f>
        <v>0</v>
      </c>
      <c r="D21" s="95">
        <f t="shared" ref="D21:S21" si="4">SUM(D22:D23)</f>
        <v>0</v>
      </c>
      <c r="E21" s="95">
        <f t="shared" si="4"/>
        <v>0</v>
      </c>
      <c r="F21" s="95">
        <f t="shared" si="4"/>
        <v>0</v>
      </c>
      <c r="G21" s="95">
        <v>1740.2</v>
      </c>
      <c r="H21" s="95">
        <v>494.75</v>
      </c>
      <c r="I21" s="95">
        <f t="shared" si="4"/>
        <v>0</v>
      </c>
      <c r="J21" s="95">
        <f t="shared" si="4"/>
        <v>0</v>
      </c>
      <c r="K21" s="95">
        <f t="shared" si="1"/>
        <v>2234.9499999999998</v>
      </c>
      <c r="L21" s="98">
        <f t="shared" si="4"/>
        <v>0</v>
      </c>
      <c r="M21" s="98">
        <f t="shared" si="4"/>
        <v>0</v>
      </c>
      <c r="N21" s="98">
        <f t="shared" si="4"/>
        <v>0</v>
      </c>
      <c r="O21" s="98">
        <f t="shared" si="4"/>
        <v>0</v>
      </c>
      <c r="P21" s="98">
        <v>120</v>
      </c>
      <c r="Q21" s="98">
        <v>33</v>
      </c>
      <c r="R21" s="98">
        <f t="shared" si="4"/>
        <v>0</v>
      </c>
      <c r="S21" s="98">
        <f t="shared" si="4"/>
        <v>0</v>
      </c>
      <c r="T21" s="98">
        <f t="shared" si="3"/>
        <v>153</v>
      </c>
    </row>
    <row r="22" spans="1:20" s="84" customFormat="1" ht="24" customHeight="1">
      <c r="A22" s="97" t="s">
        <v>412</v>
      </c>
      <c r="B22" s="94" t="s">
        <v>771</v>
      </c>
      <c r="C22" s="95">
        <v>0</v>
      </c>
      <c r="D22" s="95">
        <v>0</v>
      </c>
      <c r="E22" s="95">
        <v>0</v>
      </c>
      <c r="F22" s="95">
        <v>0</v>
      </c>
      <c r="G22" s="95">
        <v>1740.2</v>
      </c>
      <c r="H22" s="95">
        <v>0</v>
      </c>
      <c r="I22" s="95">
        <v>0</v>
      </c>
      <c r="J22" s="95">
        <v>0</v>
      </c>
      <c r="K22" s="95">
        <f t="shared" si="1"/>
        <v>1740.2</v>
      </c>
      <c r="L22" s="98">
        <v>0</v>
      </c>
      <c r="M22" s="98">
        <v>0</v>
      </c>
      <c r="N22" s="98">
        <v>0</v>
      </c>
      <c r="O22" s="98">
        <v>0</v>
      </c>
      <c r="P22" s="98">
        <v>120</v>
      </c>
      <c r="Q22" s="98"/>
      <c r="R22" s="98">
        <v>0</v>
      </c>
      <c r="S22" s="98">
        <v>0</v>
      </c>
      <c r="T22" s="98">
        <f t="shared" si="3"/>
        <v>120</v>
      </c>
    </row>
    <row r="23" spans="1:20" s="84" customFormat="1" ht="24" customHeight="1">
      <c r="A23" s="97" t="s">
        <v>413</v>
      </c>
      <c r="B23" s="94" t="s">
        <v>772</v>
      </c>
      <c r="C23" s="95">
        <v>0</v>
      </c>
      <c r="D23" s="95">
        <v>0</v>
      </c>
      <c r="E23" s="95">
        <v>0</v>
      </c>
      <c r="F23" s="95">
        <v>0</v>
      </c>
      <c r="G23" s="95">
        <v>0</v>
      </c>
      <c r="H23" s="95">
        <v>494.75</v>
      </c>
      <c r="I23" s="95">
        <v>0</v>
      </c>
      <c r="J23" s="95"/>
      <c r="K23" s="95">
        <f t="shared" si="1"/>
        <v>494.75</v>
      </c>
      <c r="L23" s="98">
        <v>0</v>
      </c>
      <c r="M23" s="98">
        <v>0</v>
      </c>
      <c r="N23" s="98">
        <v>0</v>
      </c>
      <c r="O23" s="98">
        <v>0</v>
      </c>
      <c r="P23" s="98">
        <v>0</v>
      </c>
      <c r="Q23" s="98">
        <v>33</v>
      </c>
      <c r="R23" s="98">
        <v>0</v>
      </c>
      <c r="S23" s="98">
        <v>0</v>
      </c>
      <c r="T23" s="98">
        <f t="shared" si="3"/>
        <v>33</v>
      </c>
    </row>
    <row r="24" spans="1:20" s="84" customFormat="1" ht="24" customHeight="1">
      <c r="A24" s="97">
        <v>3</v>
      </c>
      <c r="B24" s="94" t="s">
        <v>341</v>
      </c>
      <c r="C24" s="96">
        <f t="shared" ref="C24:T24" si="5">C17+C21</f>
        <v>474.81</v>
      </c>
      <c r="D24" s="96">
        <f t="shared" si="5"/>
        <v>756.13</v>
      </c>
      <c r="E24" s="96">
        <f t="shared" si="5"/>
        <v>1720.5800000000002</v>
      </c>
      <c r="F24" s="96">
        <f t="shared" si="5"/>
        <v>2608.94</v>
      </c>
      <c r="G24" s="96">
        <f t="shared" si="5"/>
        <v>1740.2</v>
      </c>
      <c r="H24" s="96">
        <f t="shared" si="5"/>
        <v>494.75</v>
      </c>
      <c r="I24" s="96">
        <f t="shared" si="5"/>
        <v>0</v>
      </c>
      <c r="J24" s="96">
        <f t="shared" si="5"/>
        <v>0</v>
      </c>
      <c r="K24" s="96">
        <f t="shared" si="5"/>
        <v>7795.4100000000008</v>
      </c>
      <c r="L24" s="100">
        <f t="shared" si="5"/>
        <v>43</v>
      </c>
      <c r="M24" s="100">
        <f t="shared" si="5"/>
        <v>73</v>
      </c>
      <c r="N24" s="100">
        <f t="shared" si="5"/>
        <v>131</v>
      </c>
      <c r="O24" s="100">
        <f t="shared" si="5"/>
        <v>244</v>
      </c>
      <c r="P24" s="100">
        <f t="shared" si="5"/>
        <v>120</v>
      </c>
      <c r="Q24" s="100">
        <f>Q17+Q23</f>
        <v>33</v>
      </c>
      <c r="R24" s="100">
        <f t="shared" si="5"/>
        <v>0</v>
      </c>
      <c r="S24" s="100">
        <f t="shared" si="5"/>
        <v>0</v>
      </c>
      <c r="T24" s="100">
        <f t="shared" si="5"/>
        <v>644</v>
      </c>
    </row>
    <row r="25" spans="1:20">
      <c r="A25" s="71"/>
      <c r="T25" t="s">
        <v>765</v>
      </c>
    </row>
    <row r="26" spans="1:20">
      <c r="K26" s="145"/>
    </row>
  </sheetData>
  <mergeCells count="5">
    <mergeCell ref="N7:T7"/>
    <mergeCell ref="A13:A15"/>
    <mergeCell ref="B13:B15"/>
    <mergeCell ref="C13:K13"/>
    <mergeCell ref="L13:T13"/>
  </mergeCells>
  <phoneticPr fontId="63" type="noConversion"/>
  <printOptions horizontalCentered="1"/>
  <pageMargins left="0.31496062992125984" right="0.31496062992125984" top="0.55118110236220474" bottom="0.15748031496062992"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sheetPr>
    <tabColor rgb="FF00B0F0"/>
    <pageSetUpPr fitToPage="1"/>
  </sheetPr>
  <dimension ref="A1:V53"/>
  <sheetViews>
    <sheetView topLeftCell="A23" zoomScale="90" zoomScaleNormal="90" workbookViewId="0">
      <selection activeCell="K3" sqref="K3"/>
    </sheetView>
  </sheetViews>
  <sheetFormatPr defaultRowHeight="15"/>
  <cols>
    <col min="1" max="1" width="3.85546875" customWidth="1"/>
    <col min="2" max="2" width="14" customWidth="1"/>
    <col min="3" max="3" width="8.28515625" customWidth="1"/>
    <col min="7" max="14" width="9" bestFit="1" customWidth="1"/>
    <col min="15" max="15" width="17.42578125" customWidth="1"/>
    <col min="16" max="16" width="14.42578125" customWidth="1"/>
    <col min="17" max="18" width="16.7109375" customWidth="1"/>
    <col min="19" max="19" width="9.28515625" bestFit="1" customWidth="1"/>
    <col min="20" max="20" width="12.7109375" customWidth="1"/>
    <col min="21" max="21" width="12.42578125" customWidth="1"/>
    <col min="22" max="22" width="11.42578125" bestFit="1" customWidth="1"/>
  </cols>
  <sheetData>
    <row r="1" spans="1:22">
      <c r="I1">
        <v>14</v>
      </c>
    </row>
    <row r="2" spans="1:22">
      <c r="K2" s="104" t="s">
        <v>293</v>
      </c>
      <c r="L2" s="101"/>
      <c r="M2" s="101"/>
      <c r="N2" s="101"/>
      <c r="O2" s="101"/>
      <c r="P2" s="101"/>
      <c r="Q2" s="101"/>
      <c r="R2" s="101"/>
      <c r="S2" s="101"/>
      <c r="T2" s="101"/>
      <c r="U2" s="101"/>
    </row>
    <row r="3" spans="1:22">
      <c r="K3" s="104" t="s">
        <v>294</v>
      </c>
      <c r="L3" s="101"/>
      <c r="M3" s="101"/>
      <c r="N3" s="101"/>
      <c r="O3" s="101"/>
      <c r="P3" s="101"/>
      <c r="Q3" s="101"/>
      <c r="R3" s="101"/>
      <c r="S3" s="101"/>
      <c r="T3" s="101"/>
      <c r="U3" s="101"/>
    </row>
    <row r="4" spans="1:22">
      <c r="K4" s="104" t="s">
        <v>295</v>
      </c>
      <c r="L4" s="101"/>
      <c r="M4" s="101"/>
      <c r="N4" s="101"/>
      <c r="O4" s="101"/>
      <c r="P4" s="101"/>
      <c r="Q4" s="101"/>
      <c r="R4" s="101"/>
      <c r="S4" s="101"/>
      <c r="T4" s="101"/>
      <c r="U4" s="101"/>
    </row>
    <row r="5" spans="1:22">
      <c r="K5" s="104" t="s">
        <v>296</v>
      </c>
      <c r="L5" s="101"/>
      <c r="M5" s="101"/>
      <c r="N5" s="101"/>
      <c r="O5" s="101"/>
      <c r="P5" s="101"/>
      <c r="Q5" s="101"/>
      <c r="R5" s="101"/>
      <c r="S5" s="101"/>
      <c r="T5" s="101"/>
      <c r="U5" s="101"/>
    </row>
    <row r="6" spans="1:22">
      <c r="K6" s="104"/>
      <c r="L6" s="101"/>
      <c r="M6" s="101"/>
      <c r="N6" s="101"/>
      <c r="O6" s="101"/>
      <c r="P6" s="101"/>
      <c r="Q6" s="101"/>
      <c r="R6" s="101"/>
      <c r="S6" s="101"/>
      <c r="T6" s="101"/>
      <c r="U6" s="101"/>
    </row>
    <row r="7" spans="1:22">
      <c r="K7" s="104" t="s">
        <v>767</v>
      </c>
      <c r="L7" s="101"/>
      <c r="M7" s="101"/>
      <c r="N7" s="101"/>
      <c r="O7" s="101"/>
      <c r="P7" s="101"/>
      <c r="Q7" s="101"/>
      <c r="R7" s="101"/>
      <c r="S7" s="101"/>
      <c r="T7" s="101"/>
      <c r="U7" s="101"/>
    </row>
    <row r="8" spans="1:22" ht="32.450000000000003" customHeight="1">
      <c r="K8" s="516" t="s">
        <v>297</v>
      </c>
      <c r="L8" s="517"/>
      <c r="M8" s="517"/>
      <c r="N8" s="517"/>
      <c r="O8" s="517"/>
      <c r="P8" s="517"/>
      <c r="Q8" s="517"/>
      <c r="R8" s="517"/>
      <c r="S8" s="517"/>
      <c r="T8" s="517"/>
      <c r="U8" s="78"/>
    </row>
    <row r="9" spans="1:22">
      <c r="H9" s="74" t="s">
        <v>342</v>
      </c>
    </row>
    <row r="10" spans="1:22">
      <c r="H10" s="74" t="s">
        <v>343</v>
      </c>
    </row>
    <row r="11" spans="1:22">
      <c r="H11" s="74" t="s">
        <v>344</v>
      </c>
    </row>
    <row r="12" spans="1:22">
      <c r="H12" s="80" t="s">
        <v>327</v>
      </c>
    </row>
    <row r="13" spans="1:22">
      <c r="H13" s="80"/>
    </row>
    <row r="14" spans="1:22" s="101" customFormat="1" ht="20.45" customHeight="1">
      <c r="A14" s="485" t="s">
        <v>3</v>
      </c>
      <c r="B14" s="485" t="s">
        <v>345</v>
      </c>
      <c r="C14" s="481" t="s">
        <v>346</v>
      </c>
      <c r="D14" s="519"/>
      <c r="E14" s="481" t="s">
        <v>347</v>
      </c>
      <c r="F14" s="481" t="s">
        <v>348</v>
      </c>
      <c r="G14" s="481" t="s">
        <v>349</v>
      </c>
      <c r="H14" s="481" t="s">
        <v>350</v>
      </c>
      <c r="I14" s="485" t="s">
        <v>351</v>
      </c>
      <c r="J14" s="485"/>
      <c r="K14" s="485"/>
      <c r="L14" s="485" t="s">
        <v>10</v>
      </c>
      <c r="M14" s="485"/>
      <c r="N14" s="485"/>
      <c r="O14" s="485" t="s">
        <v>352</v>
      </c>
      <c r="P14" s="485"/>
      <c r="Q14" s="485"/>
      <c r="R14" s="485"/>
      <c r="S14" s="485"/>
      <c r="T14" s="485" t="s">
        <v>353</v>
      </c>
      <c r="U14" s="485" t="s">
        <v>736</v>
      </c>
      <c r="V14" s="78"/>
    </row>
    <row r="15" spans="1:22" s="101" customFormat="1" ht="66.599999999999994" customHeight="1">
      <c r="A15" s="518"/>
      <c r="B15" s="515"/>
      <c r="C15" s="519"/>
      <c r="D15" s="519"/>
      <c r="E15" s="519"/>
      <c r="F15" s="519"/>
      <c r="G15" s="481"/>
      <c r="H15" s="481"/>
      <c r="I15" s="481" t="s">
        <v>13</v>
      </c>
      <c r="J15" s="485" t="s">
        <v>14</v>
      </c>
      <c r="K15" s="485"/>
      <c r="L15" s="481" t="s">
        <v>13</v>
      </c>
      <c r="M15" s="485" t="s">
        <v>14</v>
      </c>
      <c r="N15" s="485"/>
      <c r="O15" s="481" t="s">
        <v>354</v>
      </c>
      <c r="P15" s="485" t="s">
        <v>355</v>
      </c>
      <c r="Q15" s="485" t="s">
        <v>356</v>
      </c>
      <c r="R15" s="485"/>
      <c r="S15" s="485" t="s">
        <v>357</v>
      </c>
      <c r="T15" s="485"/>
      <c r="U15" s="485"/>
      <c r="V15" s="76"/>
    </row>
    <row r="16" spans="1:22" s="101" customFormat="1" ht="81" customHeight="1">
      <c r="A16" s="518"/>
      <c r="B16" s="515"/>
      <c r="C16" s="86" t="s">
        <v>21</v>
      </c>
      <c r="D16" s="86" t="s">
        <v>22</v>
      </c>
      <c r="E16" s="519"/>
      <c r="F16" s="519"/>
      <c r="G16" s="481"/>
      <c r="H16" s="481"/>
      <c r="I16" s="481"/>
      <c r="J16" s="86" t="s">
        <v>358</v>
      </c>
      <c r="K16" s="86" t="s">
        <v>359</v>
      </c>
      <c r="L16" s="481"/>
      <c r="M16" s="86" t="s">
        <v>358</v>
      </c>
      <c r="N16" s="86" t="s">
        <v>359</v>
      </c>
      <c r="O16" s="481"/>
      <c r="P16" s="485"/>
      <c r="Q16" s="86" t="s">
        <v>360</v>
      </c>
      <c r="R16" s="86" t="s">
        <v>361</v>
      </c>
      <c r="S16" s="485"/>
      <c r="T16" s="86" t="s">
        <v>361</v>
      </c>
      <c r="U16" s="86" t="s">
        <v>361</v>
      </c>
      <c r="V16" s="78"/>
    </row>
    <row r="17" spans="1:22" s="101" customFormat="1" ht="15.75">
      <c r="A17" s="102"/>
      <c r="B17" s="103"/>
      <c r="C17" s="103"/>
      <c r="D17" s="103"/>
      <c r="E17" s="103"/>
      <c r="F17" s="103"/>
      <c r="G17" s="93" t="s">
        <v>23</v>
      </c>
      <c r="H17" s="93" t="s">
        <v>25</v>
      </c>
      <c r="I17" s="93" t="s">
        <v>24</v>
      </c>
      <c r="J17" s="93" t="s">
        <v>24</v>
      </c>
      <c r="K17" s="93" t="s">
        <v>24</v>
      </c>
      <c r="L17" s="93" t="s">
        <v>25</v>
      </c>
      <c r="M17" s="93" t="s">
        <v>25</v>
      </c>
      <c r="N17" s="93" t="s">
        <v>25</v>
      </c>
      <c r="O17" s="93" t="s">
        <v>26</v>
      </c>
      <c r="P17" s="93" t="s">
        <v>26</v>
      </c>
      <c r="Q17" s="93" t="s">
        <v>26</v>
      </c>
      <c r="R17" s="93" t="s">
        <v>26</v>
      </c>
      <c r="S17" s="93" t="s">
        <v>26</v>
      </c>
      <c r="T17" s="93" t="s">
        <v>26</v>
      </c>
      <c r="U17" s="93" t="s">
        <v>26</v>
      </c>
      <c r="V17" s="76"/>
    </row>
    <row r="18" spans="1:22" ht="15.75">
      <c r="A18" s="85">
        <v>1</v>
      </c>
      <c r="B18" s="85">
        <f>A18+1</f>
        <v>2</v>
      </c>
      <c r="C18" s="85">
        <f t="shared" ref="C18:U18" si="0">B18+1</f>
        <v>3</v>
      </c>
      <c r="D18" s="85">
        <f t="shared" si="0"/>
        <v>4</v>
      </c>
      <c r="E18" s="85">
        <f t="shared" si="0"/>
        <v>5</v>
      </c>
      <c r="F18" s="85">
        <f t="shared" si="0"/>
        <v>6</v>
      </c>
      <c r="G18" s="85">
        <f t="shared" si="0"/>
        <v>7</v>
      </c>
      <c r="H18" s="85">
        <f t="shared" si="0"/>
        <v>8</v>
      </c>
      <c r="I18" s="85">
        <f t="shared" si="0"/>
        <v>9</v>
      </c>
      <c r="J18" s="85">
        <f t="shared" si="0"/>
        <v>10</v>
      </c>
      <c r="K18" s="85">
        <f t="shared" si="0"/>
        <v>11</v>
      </c>
      <c r="L18" s="85">
        <f t="shared" si="0"/>
        <v>12</v>
      </c>
      <c r="M18" s="85">
        <f t="shared" si="0"/>
        <v>13</v>
      </c>
      <c r="N18" s="85">
        <f t="shared" si="0"/>
        <v>14</v>
      </c>
      <c r="O18" s="85">
        <f t="shared" si="0"/>
        <v>15</v>
      </c>
      <c r="P18" s="85">
        <f t="shared" si="0"/>
        <v>16</v>
      </c>
      <c r="Q18" s="85">
        <f t="shared" si="0"/>
        <v>17</v>
      </c>
      <c r="R18" s="85">
        <f t="shared" si="0"/>
        <v>18</v>
      </c>
      <c r="S18" s="85">
        <f t="shared" si="0"/>
        <v>19</v>
      </c>
      <c r="T18" s="85">
        <f t="shared" si="0"/>
        <v>20</v>
      </c>
      <c r="U18" s="85">
        <f t="shared" si="0"/>
        <v>21</v>
      </c>
      <c r="V18" s="81"/>
    </row>
    <row r="19" spans="1:22" s="110" customFormat="1" ht="52.15" customHeight="1">
      <c r="A19" s="509" t="s">
        <v>339</v>
      </c>
      <c r="B19" s="510"/>
      <c r="C19" s="353" t="s">
        <v>28</v>
      </c>
      <c r="D19" s="353" t="s">
        <v>28</v>
      </c>
      <c r="E19" s="353" t="s">
        <v>28</v>
      </c>
      <c r="F19" s="353" t="s">
        <v>28</v>
      </c>
      <c r="G19" s="354">
        <f t="shared" ref="G19:U19" si="1">G20+G27+G36+G48</f>
        <v>491</v>
      </c>
      <c r="H19" s="355">
        <f t="shared" si="1"/>
        <v>5679.15</v>
      </c>
      <c r="I19" s="354">
        <f t="shared" si="1"/>
        <v>180</v>
      </c>
      <c r="J19" s="354">
        <f t="shared" si="1"/>
        <v>96</v>
      </c>
      <c r="K19" s="354">
        <f t="shared" si="1"/>
        <v>84</v>
      </c>
      <c r="L19" s="355">
        <f t="shared" si="1"/>
        <v>5560.4600000000009</v>
      </c>
      <c r="M19" s="355">
        <f t="shared" si="1"/>
        <v>2933.76</v>
      </c>
      <c r="N19" s="355">
        <f t="shared" si="1"/>
        <v>2626.7</v>
      </c>
      <c r="O19" s="355">
        <f t="shared" si="1"/>
        <v>334275849.80347466</v>
      </c>
      <c r="P19" s="355">
        <f t="shared" si="1"/>
        <v>197207031.70999998</v>
      </c>
      <c r="Q19" s="355">
        <f t="shared" si="1"/>
        <v>112552851.97962278</v>
      </c>
      <c r="R19" s="355">
        <f t="shared" si="1"/>
        <v>24515966.109999999</v>
      </c>
      <c r="S19" s="117">
        <f t="shared" si="1"/>
        <v>0</v>
      </c>
      <c r="T19" s="355">
        <f>T20+T27+T36+T48</f>
        <v>11345454.040000001</v>
      </c>
      <c r="U19" s="355">
        <f t="shared" si="1"/>
        <v>103499.9994</v>
      </c>
      <c r="V19" s="109"/>
    </row>
    <row r="20" spans="1:22" s="110" customFormat="1" ht="31.9" customHeight="1">
      <c r="A20" s="511" t="s">
        <v>80</v>
      </c>
      <c r="B20" s="512"/>
      <c r="C20" s="108" t="s">
        <v>28</v>
      </c>
      <c r="D20" s="108" t="s">
        <v>28</v>
      </c>
      <c r="E20" s="108" t="s">
        <v>28</v>
      </c>
      <c r="F20" s="108" t="s">
        <v>28</v>
      </c>
      <c r="G20" s="114">
        <f>SUM(G21:G23)+G24</f>
        <v>116</v>
      </c>
      <c r="H20" s="111">
        <f>SUM(H21:H23)+H24</f>
        <v>1349.63</v>
      </c>
      <c r="I20" s="114">
        <f t="shared" ref="I20:S20" si="2">SUM(I21:I23)+I24</f>
        <v>49</v>
      </c>
      <c r="J20" s="114">
        <f t="shared" si="2"/>
        <v>19</v>
      </c>
      <c r="K20" s="114">
        <f t="shared" si="2"/>
        <v>30</v>
      </c>
      <c r="L20" s="111">
        <f t="shared" si="2"/>
        <v>1230.94</v>
      </c>
      <c r="M20" s="111">
        <f t="shared" si="2"/>
        <v>479.49</v>
      </c>
      <c r="N20" s="111">
        <f t="shared" si="2"/>
        <v>751.44999999999993</v>
      </c>
      <c r="O20" s="407">
        <f>SUM(O21:O23)+O24</f>
        <v>53136308.570000008</v>
      </c>
      <c r="P20" s="407">
        <f>SUM(P21:P23)+P24</f>
        <v>20616302.400000002</v>
      </c>
      <c r="Q20" s="407">
        <f t="shared" si="2"/>
        <v>26016004.940000001</v>
      </c>
      <c r="R20" s="407">
        <f t="shared" si="2"/>
        <v>6504001.2300000004</v>
      </c>
      <c r="S20" s="350">
        <f t="shared" si="2"/>
        <v>0</v>
      </c>
      <c r="T20" s="407">
        <f>SUM(T21:T24)</f>
        <v>2734115.2800000003</v>
      </c>
      <c r="U20" s="407">
        <f>SUM(U21:U24)</f>
        <v>0</v>
      </c>
      <c r="V20" s="109"/>
    </row>
    <row r="21" spans="1:22" ht="20.45" customHeight="1">
      <c r="A21" s="93" t="s">
        <v>34</v>
      </c>
      <c r="B21" s="94" t="s">
        <v>96</v>
      </c>
      <c r="C21" s="92" t="s">
        <v>97</v>
      </c>
      <c r="D21" s="106">
        <v>41123</v>
      </c>
      <c r="E21" s="92" t="s">
        <v>37</v>
      </c>
      <c r="F21" s="92" t="s">
        <v>84</v>
      </c>
      <c r="G21" s="115">
        <v>32</v>
      </c>
      <c r="H21" s="112">
        <v>427.6</v>
      </c>
      <c r="I21" s="115">
        <v>15</v>
      </c>
      <c r="J21" s="115">
        <v>13</v>
      </c>
      <c r="K21" s="115">
        <v>2</v>
      </c>
      <c r="L21" s="112">
        <v>427.6</v>
      </c>
      <c r="M21" s="112">
        <v>318.37</v>
      </c>
      <c r="N21" s="112">
        <v>109.23</v>
      </c>
      <c r="O21" s="408">
        <f>SUM(P21:S21)</f>
        <v>20524800.000000004</v>
      </c>
      <c r="P21" s="408">
        <f>ДИМИТРОВград!O51</f>
        <v>8648358.1400000006</v>
      </c>
      <c r="Q21" s="408">
        <f>ДИМИТРОВград!P51</f>
        <v>9501153.4900000002</v>
      </c>
      <c r="R21" s="408">
        <f>ДИМИТРОВград!Q51</f>
        <v>2375288.37</v>
      </c>
      <c r="S21" s="352">
        <v>0</v>
      </c>
      <c r="T21" s="408">
        <v>762850.67</v>
      </c>
      <c r="U21" s="408"/>
      <c r="V21" s="75"/>
    </row>
    <row r="22" spans="1:22" ht="20.45" customHeight="1">
      <c r="A22" s="93" t="s">
        <v>38</v>
      </c>
      <c r="B22" s="94" t="s">
        <v>99</v>
      </c>
      <c r="C22" s="452" t="s">
        <v>100</v>
      </c>
      <c r="D22" s="106">
        <v>41297</v>
      </c>
      <c r="E22" s="92" t="s">
        <v>37</v>
      </c>
      <c r="F22" s="92" t="s">
        <v>84</v>
      </c>
      <c r="G22" s="115">
        <v>24</v>
      </c>
      <c r="H22" s="112">
        <v>244.33</v>
      </c>
      <c r="I22" s="115">
        <v>8</v>
      </c>
      <c r="J22" s="115">
        <v>2</v>
      </c>
      <c r="K22" s="115">
        <v>6</v>
      </c>
      <c r="L22" s="112">
        <v>244.33</v>
      </c>
      <c r="M22" s="112">
        <v>90.92</v>
      </c>
      <c r="N22" s="112">
        <v>153.41</v>
      </c>
      <c r="O22" s="408">
        <f>SUM(P22:S22)</f>
        <v>11727840.000000002</v>
      </c>
      <c r="P22" s="408">
        <f>ДИМИТРОВград!O52</f>
        <v>4941658.9000000004</v>
      </c>
      <c r="Q22" s="408">
        <f>ДИМИТРОВград!P52</f>
        <v>5428944.8799999999</v>
      </c>
      <c r="R22" s="408">
        <f>ДИМИТРОВград!Q52</f>
        <v>1357236.22</v>
      </c>
      <c r="S22" s="352">
        <v>0</v>
      </c>
      <c r="T22" s="408">
        <v>426133.6</v>
      </c>
      <c r="U22" s="408"/>
      <c r="V22" s="75"/>
    </row>
    <row r="23" spans="1:22" ht="20.45" customHeight="1">
      <c r="A23" s="93" t="s">
        <v>41</v>
      </c>
      <c r="B23" s="94" t="s">
        <v>144</v>
      </c>
      <c r="C23" s="92" t="s">
        <v>103</v>
      </c>
      <c r="D23" s="106">
        <v>41565</v>
      </c>
      <c r="E23" s="92" t="s">
        <v>37</v>
      </c>
      <c r="F23" s="92" t="s">
        <v>84</v>
      </c>
      <c r="G23" s="115">
        <v>40</v>
      </c>
      <c r="H23" s="112">
        <v>347.4</v>
      </c>
      <c r="I23" s="115">
        <v>19</v>
      </c>
      <c r="J23" s="115">
        <v>4</v>
      </c>
      <c r="K23" s="115">
        <v>15</v>
      </c>
      <c r="L23" s="112">
        <v>347.4</v>
      </c>
      <c r="M23" s="112">
        <v>70.2</v>
      </c>
      <c r="N23" s="112">
        <v>277.2</v>
      </c>
      <c r="O23" s="408">
        <f>SUM(P23:S23)</f>
        <v>20883668.57</v>
      </c>
      <c r="P23" s="408">
        <f>ДИМИТРОВград!O53</f>
        <v>7026285.3600000003</v>
      </c>
      <c r="Q23" s="408">
        <f>ДИМИТРОВград!P53</f>
        <v>11085906.57</v>
      </c>
      <c r="R23" s="408">
        <f>ДИМИТРОВград!Q53</f>
        <v>2771476.64</v>
      </c>
      <c r="S23" s="351">
        <v>0</v>
      </c>
      <c r="T23" s="408">
        <v>1080131.01</v>
      </c>
      <c r="U23" s="408"/>
      <c r="V23" s="75"/>
    </row>
    <row r="24" spans="1:22" s="110" customFormat="1" ht="45" customHeight="1">
      <c r="A24" s="511" t="s">
        <v>142</v>
      </c>
      <c r="B24" s="512"/>
      <c r="C24" s="108" t="s">
        <v>28</v>
      </c>
      <c r="D24" s="108" t="s">
        <v>28</v>
      </c>
      <c r="E24" s="108" t="s">
        <v>28</v>
      </c>
      <c r="F24" s="108" t="s">
        <v>28</v>
      </c>
      <c r="G24" s="114">
        <f>SUM(G25:G26)</f>
        <v>20</v>
      </c>
      <c r="H24" s="111">
        <f t="shared" ref="H24:T24" si="3">SUM(H25:H26)</f>
        <v>330.3</v>
      </c>
      <c r="I24" s="114">
        <f t="shared" si="3"/>
        <v>7</v>
      </c>
      <c r="J24" s="114">
        <f t="shared" si="3"/>
        <v>0</v>
      </c>
      <c r="K24" s="114">
        <f t="shared" si="3"/>
        <v>7</v>
      </c>
      <c r="L24" s="111">
        <f t="shared" si="3"/>
        <v>211.61</v>
      </c>
      <c r="M24" s="111">
        <f t="shared" si="3"/>
        <v>0</v>
      </c>
      <c r="N24" s="111">
        <f t="shared" si="3"/>
        <v>211.61</v>
      </c>
      <c r="O24" s="350">
        <f t="shared" si="3"/>
        <v>0</v>
      </c>
      <c r="P24" s="350">
        <f t="shared" si="3"/>
        <v>0</v>
      </c>
      <c r="Q24" s="350">
        <f t="shared" si="3"/>
        <v>0</v>
      </c>
      <c r="R24" s="350">
        <f t="shared" si="3"/>
        <v>0</v>
      </c>
      <c r="S24" s="350">
        <f t="shared" si="3"/>
        <v>0</v>
      </c>
      <c r="T24" s="407">
        <f t="shared" si="3"/>
        <v>465000</v>
      </c>
      <c r="U24" s="407">
        <f>SUM(U25:U26)</f>
        <v>0</v>
      </c>
      <c r="V24" s="109"/>
    </row>
    <row r="25" spans="1:22" ht="33.75">
      <c r="A25" s="93">
        <v>1</v>
      </c>
      <c r="B25" s="94" t="s">
        <v>144</v>
      </c>
      <c r="C25" s="92" t="s">
        <v>103</v>
      </c>
      <c r="D25" s="106">
        <v>41565</v>
      </c>
      <c r="E25" s="92" t="s">
        <v>37</v>
      </c>
      <c r="F25" s="92" t="s">
        <v>84</v>
      </c>
      <c r="G25" s="115">
        <v>20</v>
      </c>
      <c r="H25" s="112">
        <v>211.61</v>
      </c>
      <c r="I25" s="115">
        <v>7</v>
      </c>
      <c r="J25" s="115">
        <v>0</v>
      </c>
      <c r="K25" s="115">
        <v>7</v>
      </c>
      <c r="L25" s="112">
        <v>211.61</v>
      </c>
      <c r="M25" s="112">
        <v>0</v>
      </c>
      <c r="N25" s="112">
        <v>211.61</v>
      </c>
      <c r="O25" s="351">
        <v>0</v>
      </c>
      <c r="P25" s="351">
        <v>0</v>
      </c>
      <c r="Q25" s="351">
        <v>0</v>
      </c>
      <c r="R25" s="351">
        <v>0</v>
      </c>
      <c r="S25" s="351">
        <v>0</v>
      </c>
      <c r="T25" s="408">
        <v>0</v>
      </c>
      <c r="U25" s="408">
        <v>0</v>
      </c>
      <c r="V25" s="75"/>
    </row>
    <row r="26" spans="1:22" ht="34.5">
      <c r="A26" s="85">
        <v>2</v>
      </c>
      <c r="B26" s="105" t="s">
        <v>414</v>
      </c>
      <c r="C26" s="92" t="s">
        <v>362</v>
      </c>
      <c r="D26" s="92" t="s">
        <v>362</v>
      </c>
      <c r="E26" s="92" t="s">
        <v>362</v>
      </c>
      <c r="F26" s="92" t="s">
        <v>36</v>
      </c>
      <c r="G26" s="115" t="s">
        <v>362</v>
      </c>
      <c r="H26" s="112">
        <v>118.69</v>
      </c>
      <c r="I26" s="115" t="s">
        <v>362</v>
      </c>
      <c r="J26" s="115" t="s">
        <v>362</v>
      </c>
      <c r="K26" s="115" t="s">
        <v>362</v>
      </c>
      <c r="L26" s="112" t="s">
        <v>362</v>
      </c>
      <c r="M26" s="113">
        <v>0</v>
      </c>
      <c r="N26" s="112">
        <v>0</v>
      </c>
      <c r="O26" s="351">
        <v>0</v>
      </c>
      <c r="P26" s="351">
        <v>0</v>
      </c>
      <c r="Q26" s="351">
        <v>0</v>
      </c>
      <c r="R26" s="351">
        <v>0</v>
      </c>
      <c r="S26" s="352">
        <v>0</v>
      </c>
      <c r="T26" s="408">
        <v>465000</v>
      </c>
      <c r="U26" s="408"/>
      <c r="V26" s="107"/>
    </row>
    <row r="27" spans="1:22" s="110" customFormat="1" ht="31.9" customHeight="1">
      <c r="A27" s="509" t="s">
        <v>150</v>
      </c>
      <c r="B27" s="510"/>
      <c r="C27" s="353" t="s">
        <v>28</v>
      </c>
      <c r="D27" s="353" t="s">
        <v>28</v>
      </c>
      <c r="E27" s="353" t="s">
        <v>28</v>
      </c>
      <c r="F27" s="353" t="s">
        <v>28</v>
      </c>
      <c r="G27" s="354">
        <f t="shared" ref="G27:Q27" si="4">SUM(G28:G34)</f>
        <v>131</v>
      </c>
      <c r="H27" s="355">
        <f t="shared" si="4"/>
        <v>1720.5800000000002</v>
      </c>
      <c r="I27" s="354">
        <f t="shared" si="4"/>
        <v>46</v>
      </c>
      <c r="J27" s="354">
        <f t="shared" si="4"/>
        <v>28</v>
      </c>
      <c r="K27" s="354">
        <f t="shared" si="4"/>
        <v>18</v>
      </c>
      <c r="L27" s="355">
        <f t="shared" si="4"/>
        <v>1720.5800000000002</v>
      </c>
      <c r="M27" s="355">
        <f t="shared" si="4"/>
        <v>953.19</v>
      </c>
      <c r="N27" s="355">
        <f t="shared" si="4"/>
        <v>767.39</v>
      </c>
      <c r="O27" s="355">
        <f t="shared" si="4"/>
        <v>97040712.003474653</v>
      </c>
      <c r="P27" s="355">
        <v>60687777.420000002</v>
      </c>
      <c r="Q27" s="355">
        <f t="shared" si="4"/>
        <v>29082347.659622766</v>
      </c>
      <c r="R27" s="355">
        <v>7270586.9199999999</v>
      </c>
      <c r="S27" s="117">
        <f>SUM(S28:S32)</f>
        <v>0</v>
      </c>
      <c r="T27" s="355">
        <f>SUM(T28:T34)</f>
        <v>3092970.1900000004</v>
      </c>
      <c r="U27" s="355">
        <f>SUM(U28:U34)</f>
        <v>50999.999399999993</v>
      </c>
      <c r="V27" s="109"/>
    </row>
    <row r="28" spans="1:22" s="142" customFormat="1" ht="20.45" customHeight="1">
      <c r="A28" s="378" t="s">
        <v>43</v>
      </c>
      <c r="B28" s="379" t="s">
        <v>187</v>
      </c>
      <c r="C28" s="140" t="s">
        <v>188</v>
      </c>
      <c r="D28" s="435">
        <v>41234</v>
      </c>
      <c r="E28" s="140" t="s">
        <v>84</v>
      </c>
      <c r="F28" s="140" t="s">
        <v>154</v>
      </c>
      <c r="G28" s="436">
        <v>25</v>
      </c>
      <c r="H28" s="408">
        <v>267.74</v>
      </c>
      <c r="I28" s="436">
        <v>10</v>
      </c>
      <c r="J28" s="436">
        <v>8</v>
      </c>
      <c r="K28" s="436">
        <v>2</v>
      </c>
      <c r="L28" s="408">
        <v>267.74</v>
      </c>
      <c r="M28" s="408">
        <v>200.35</v>
      </c>
      <c r="N28" s="408">
        <v>67.39</v>
      </c>
      <c r="O28" s="408">
        <f>SUM(P28:R28)</f>
        <v>15100536</v>
      </c>
      <c r="P28" s="408">
        <f>'2021 '!Q7</f>
        <v>9443644.3100000005</v>
      </c>
      <c r="Q28" s="408">
        <f>'2021 '!R7</f>
        <v>4525513.3499999996</v>
      </c>
      <c r="R28" s="408">
        <f>'2021 '!S7</f>
        <v>1131378.3400000001</v>
      </c>
      <c r="S28" s="351">
        <v>0</v>
      </c>
      <c r="T28" s="408">
        <v>477892.69</v>
      </c>
      <c r="U28" s="408">
        <f>оценка!D14</f>
        <v>14166.666499999999</v>
      </c>
      <c r="V28" s="423"/>
    </row>
    <row r="29" spans="1:22" s="142" customFormat="1" ht="20.45" customHeight="1">
      <c r="A29" s="378" t="s">
        <v>45</v>
      </c>
      <c r="B29" s="379" t="s">
        <v>190</v>
      </c>
      <c r="C29" s="453" t="s">
        <v>191</v>
      </c>
      <c r="D29" s="435">
        <v>41099</v>
      </c>
      <c r="E29" s="140" t="s">
        <v>84</v>
      </c>
      <c r="F29" s="140" t="s">
        <v>154</v>
      </c>
      <c r="G29" s="436">
        <v>19</v>
      </c>
      <c r="H29" s="408">
        <v>199.33</v>
      </c>
      <c r="I29" s="436">
        <v>4</v>
      </c>
      <c r="J29" s="436">
        <v>3</v>
      </c>
      <c r="K29" s="436">
        <v>1</v>
      </c>
      <c r="L29" s="408">
        <v>199.33</v>
      </c>
      <c r="M29" s="408">
        <v>149.29</v>
      </c>
      <c r="N29" s="408">
        <v>50.04</v>
      </c>
      <c r="O29" s="408">
        <f t="shared" ref="O29:O34" si="5">SUM(P29:R29)</f>
        <v>11242211.994224997</v>
      </c>
      <c r="P29" s="408">
        <f>'2021 '!Q18</f>
        <v>7030707.4785698848</v>
      </c>
      <c r="Q29" s="408">
        <f>'2021 '!R18</f>
        <v>3369203.6156551121</v>
      </c>
      <c r="R29" s="408">
        <v>842300.9</v>
      </c>
      <c r="S29" s="351">
        <v>0</v>
      </c>
      <c r="T29" s="408">
        <v>354903.5</v>
      </c>
      <c r="U29" s="408">
        <f>оценка!D15</f>
        <v>2833.3332999999998</v>
      </c>
      <c r="V29" s="423"/>
    </row>
    <row r="30" spans="1:22" s="142" customFormat="1" ht="20.45" customHeight="1">
      <c r="A30" s="378" t="s">
        <v>48</v>
      </c>
      <c r="B30" s="379" t="s">
        <v>363</v>
      </c>
      <c r="C30" s="453" t="s">
        <v>194</v>
      </c>
      <c r="D30" s="435">
        <v>41713</v>
      </c>
      <c r="E30" s="140" t="s">
        <v>84</v>
      </c>
      <c r="F30" s="140" t="s">
        <v>154</v>
      </c>
      <c r="G30" s="436">
        <v>30</v>
      </c>
      <c r="H30" s="408">
        <v>416.04</v>
      </c>
      <c r="I30" s="436">
        <v>9</v>
      </c>
      <c r="J30" s="436">
        <v>3</v>
      </c>
      <c r="K30" s="436">
        <v>6</v>
      </c>
      <c r="L30" s="408">
        <v>416.04</v>
      </c>
      <c r="M30" s="408">
        <v>152.65</v>
      </c>
      <c r="N30" s="408">
        <v>263.39</v>
      </c>
      <c r="O30" s="408">
        <f t="shared" si="5"/>
        <v>23464656.001075678</v>
      </c>
      <c r="P30" s="408">
        <f>'2021 '!Q23</f>
        <v>14674437.061075676</v>
      </c>
      <c r="Q30" s="408">
        <v>7032175.1399999997</v>
      </c>
      <c r="R30" s="408">
        <v>1758043.8</v>
      </c>
      <c r="S30" s="351">
        <v>0</v>
      </c>
      <c r="T30" s="408">
        <v>757603.41</v>
      </c>
      <c r="U30" s="408">
        <f>оценка!D16/1000</f>
        <v>0</v>
      </c>
      <c r="V30" s="423"/>
    </row>
    <row r="31" spans="1:22" s="142" customFormat="1" ht="20.45" customHeight="1">
      <c r="A31" s="378" t="s">
        <v>51</v>
      </c>
      <c r="B31" s="379" t="s">
        <v>364</v>
      </c>
      <c r="C31" s="140" t="s">
        <v>197</v>
      </c>
      <c r="D31" s="435">
        <v>41250</v>
      </c>
      <c r="E31" s="140" t="s">
        <v>84</v>
      </c>
      <c r="F31" s="140" t="s">
        <v>154</v>
      </c>
      <c r="G31" s="436">
        <v>14</v>
      </c>
      <c r="H31" s="408">
        <v>217.04</v>
      </c>
      <c r="I31" s="436">
        <v>7</v>
      </c>
      <c r="J31" s="436">
        <v>6</v>
      </c>
      <c r="K31" s="436">
        <v>1</v>
      </c>
      <c r="L31" s="408">
        <v>217.04</v>
      </c>
      <c r="M31" s="408">
        <v>162.94</v>
      </c>
      <c r="N31" s="408">
        <v>54.1</v>
      </c>
      <c r="O31" s="408">
        <v>12241056</v>
      </c>
      <c r="P31" s="408">
        <f>'2021 '!Q33</f>
        <v>7655369.24270711</v>
      </c>
      <c r="Q31" s="408">
        <v>3668549.41</v>
      </c>
      <c r="R31" s="408">
        <f>'2021 '!S33</f>
        <v>917137.35307985405</v>
      </c>
      <c r="S31" s="351">
        <v>0</v>
      </c>
      <c r="T31" s="408">
        <v>387261.56</v>
      </c>
      <c r="U31" s="408">
        <f>оценка!D17</f>
        <v>11333.333199999999</v>
      </c>
      <c r="V31" s="423"/>
    </row>
    <row r="32" spans="1:22" ht="20.45" customHeight="1">
      <c r="A32" s="93" t="s">
        <v>55</v>
      </c>
      <c r="B32" s="94" t="s">
        <v>365</v>
      </c>
      <c r="C32" s="92" t="s">
        <v>200</v>
      </c>
      <c r="D32" s="106">
        <v>41215</v>
      </c>
      <c r="E32" s="92" t="s">
        <v>84</v>
      </c>
      <c r="F32" s="92" t="s">
        <v>154</v>
      </c>
      <c r="G32" s="115">
        <v>21</v>
      </c>
      <c r="H32" s="112">
        <v>278.89999999999998</v>
      </c>
      <c r="I32" s="115">
        <v>6</v>
      </c>
      <c r="J32" s="115">
        <v>2</v>
      </c>
      <c r="K32" s="115">
        <v>4</v>
      </c>
      <c r="L32" s="112">
        <v>278.89999999999998</v>
      </c>
      <c r="M32" s="112">
        <v>51.83</v>
      </c>
      <c r="N32" s="112">
        <v>227.07</v>
      </c>
      <c r="O32" s="112">
        <v>15729960</v>
      </c>
      <c r="P32" s="408">
        <f>'2021 '!Q41</f>
        <v>9837276.4549899213</v>
      </c>
      <c r="Q32" s="408">
        <v>4714146.84</v>
      </c>
      <c r="R32" s="408">
        <f>'2021 '!S41</f>
        <v>1178536.7110853817</v>
      </c>
      <c r="S32" s="116">
        <v>0</v>
      </c>
      <c r="T32" s="112">
        <v>499024.49</v>
      </c>
      <c r="U32" s="112">
        <f>оценка!D18</f>
        <v>5666.6665999999996</v>
      </c>
      <c r="V32" s="75"/>
    </row>
    <row r="33" spans="1:22" ht="20.45" customHeight="1">
      <c r="A33" s="93" t="s">
        <v>57</v>
      </c>
      <c r="B33" s="94" t="s">
        <v>202</v>
      </c>
      <c r="C33" s="452" t="s">
        <v>203</v>
      </c>
      <c r="D33" s="106">
        <v>41661</v>
      </c>
      <c r="E33" s="92" t="s">
        <v>84</v>
      </c>
      <c r="F33" s="92" t="s">
        <v>154</v>
      </c>
      <c r="G33" s="115">
        <v>16</v>
      </c>
      <c r="H33" s="112">
        <v>265.02</v>
      </c>
      <c r="I33" s="115">
        <v>7</v>
      </c>
      <c r="J33" s="115">
        <v>5</v>
      </c>
      <c r="K33" s="115">
        <v>2</v>
      </c>
      <c r="L33" s="112">
        <v>265.02</v>
      </c>
      <c r="M33" s="112">
        <v>219.42</v>
      </c>
      <c r="N33" s="112">
        <v>45.6</v>
      </c>
      <c r="O33" s="112">
        <v>14947128</v>
      </c>
      <c r="P33" s="408">
        <f>'2021 '!Q53</f>
        <v>9347705.2925831117</v>
      </c>
      <c r="Q33" s="408">
        <v>4479538.17</v>
      </c>
      <c r="R33" s="408">
        <f>'2021 '!S53</f>
        <v>1119884.5434630618</v>
      </c>
      <c r="S33" s="116">
        <v>0</v>
      </c>
      <c r="T33" s="112">
        <v>479713.17</v>
      </c>
      <c r="U33" s="112">
        <f>оценка!D19</f>
        <v>14166.666499999999</v>
      </c>
      <c r="V33" s="75"/>
    </row>
    <row r="34" spans="1:22" ht="20.45" customHeight="1">
      <c r="A34" s="93" t="s">
        <v>60</v>
      </c>
      <c r="B34" s="94" t="s">
        <v>370</v>
      </c>
      <c r="C34" s="92" t="s">
        <v>208</v>
      </c>
      <c r="D34" s="106">
        <v>41362</v>
      </c>
      <c r="E34" s="92" t="s">
        <v>84</v>
      </c>
      <c r="F34" s="92" t="s">
        <v>154</v>
      </c>
      <c r="G34" s="115">
        <v>6</v>
      </c>
      <c r="H34" s="112">
        <v>76.510000000000005</v>
      </c>
      <c r="I34" s="115">
        <v>3</v>
      </c>
      <c r="J34" s="115">
        <v>1</v>
      </c>
      <c r="K34" s="115">
        <v>2</v>
      </c>
      <c r="L34" s="112">
        <v>76.510000000000005</v>
      </c>
      <c r="M34" s="112">
        <v>16.71</v>
      </c>
      <c r="N34" s="112">
        <v>59.8</v>
      </c>
      <c r="O34" s="112">
        <f t="shared" si="5"/>
        <v>4315164.0081739742</v>
      </c>
      <c r="P34" s="408">
        <v>2698637.59</v>
      </c>
      <c r="Q34" s="408">
        <f>'2021 '!R49</f>
        <v>1293221.1339676545</v>
      </c>
      <c r="R34" s="408">
        <f>'2021 '!S49</f>
        <v>323305.28420631966</v>
      </c>
      <c r="S34" s="116">
        <v>0</v>
      </c>
      <c r="T34" s="112">
        <v>136571.37</v>
      </c>
      <c r="U34" s="112">
        <f>оценка!D20</f>
        <v>2833.3332999999998</v>
      </c>
      <c r="V34" s="75"/>
    </row>
    <row r="35" spans="1:22" s="142" customFormat="1">
      <c r="A35" s="141"/>
    </row>
    <row r="36" spans="1:22" s="110" customFormat="1" ht="31.15" customHeight="1">
      <c r="A36" s="509" t="s">
        <v>226</v>
      </c>
      <c r="B36" s="510"/>
      <c r="C36" s="353" t="s">
        <v>28</v>
      </c>
      <c r="D36" s="353" t="s">
        <v>28</v>
      </c>
      <c r="E36" s="353" t="s">
        <v>28</v>
      </c>
      <c r="F36" s="353" t="s">
        <v>28</v>
      </c>
      <c r="G36" s="354">
        <f t="shared" ref="G36:P36" si="6">SUM(G37:G46)</f>
        <v>244</v>
      </c>
      <c r="H36" s="355">
        <f t="shared" si="6"/>
        <v>2608.94</v>
      </c>
      <c r="I36" s="354">
        <f t="shared" si="6"/>
        <v>85</v>
      </c>
      <c r="J36" s="354">
        <f t="shared" si="6"/>
        <v>49</v>
      </c>
      <c r="K36" s="354">
        <f t="shared" si="6"/>
        <v>36</v>
      </c>
      <c r="L36" s="355">
        <f t="shared" si="6"/>
        <v>2608.94</v>
      </c>
      <c r="M36" s="355">
        <f t="shared" si="6"/>
        <v>1501.0800000000002</v>
      </c>
      <c r="N36" s="355">
        <f t="shared" si="6"/>
        <v>1107.8599999999999</v>
      </c>
      <c r="O36" s="355">
        <f>SUM(O37:O46)</f>
        <v>184098829.23000002</v>
      </c>
      <c r="P36" s="355">
        <f t="shared" si="6"/>
        <v>115902951.88999999</v>
      </c>
      <c r="Q36" s="355">
        <f>SUM(Q37:Q46)</f>
        <v>57454499.380000003</v>
      </c>
      <c r="R36" s="355">
        <f>SUM(R37:R46)</f>
        <v>10741377.960000001</v>
      </c>
      <c r="S36" s="117">
        <f>SUM(S37:S42)</f>
        <v>0</v>
      </c>
      <c r="T36" s="355">
        <f>SUM(T37:T49)</f>
        <v>5518368.5700000003</v>
      </c>
      <c r="U36" s="355">
        <f>SUM(U37:U46)</f>
        <v>52500</v>
      </c>
      <c r="V36" s="109"/>
    </row>
    <row r="37" spans="1:22" ht="20.45" customHeight="1">
      <c r="A37" s="93" t="s">
        <v>62</v>
      </c>
      <c r="B37" s="94" t="s">
        <v>366</v>
      </c>
      <c r="C37" s="92" t="s">
        <v>263</v>
      </c>
      <c r="D37" s="106">
        <v>41479</v>
      </c>
      <c r="E37" s="92" t="s">
        <v>154</v>
      </c>
      <c r="F37" s="92" t="s">
        <v>204</v>
      </c>
      <c r="G37" s="115">
        <v>20</v>
      </c>
      <c r="H37" s="112">
        <v>269.99</v>
      </c>
      <c r="I37" s="115">
        <v>9</v>
      </c>
      <c r="J37" s="115">
        <v>6</v>
      </c>
      <c r="K37" s="115">
        <v>3</v>
      </c>
      <c r="L37" s="112">
        <v>269.99</v>
      </c>
      <c r="M37" s="112">
        <v>177.75</v>
      </c>
      <c r="N37" s="112">
        <v>92.24</v>
      </c>
      <c r="O37" s="112">
        <f>SUM(P37:R37)</f>
        <v>19010219.580000002</v>
      </c>
      <c r="P37" s="112">
        <v>11935887.98</v>
      </c>
      <c r="Q37" s="112">
        <v>5966709.9000000004</v>
      </c>
      <c r="R37" s="112">
        <v>1107621.7</v>
      </c>
      <c r="S37" s="116">
        <v>0</v>
      </c>
      <c r="T37" s="112">
        <v>480105.82</v>
      </c>
      <c r="U37" s="112">
        <v>8400</v>
      </c>
      <c r="V37" s="75"/>
    </row>
    <row r="38" spans="1:22" ht="20.45" customHeight="1">
      <c r="A38" s="93">
        <v>12</v>
      </c>
      <c r="B38" s="94" t="s">
        <v>265</v>
      </c>
      <c r="C38" s="452" t="s">
        <v>266</v>
      </c>
      <c r="D38" s="106">
        <v>41297</v>
      </c>
      <c r="E38" s="92" t="s">
        <v>154</v>
      </c>
      <c r="F38" s="92" t="s">
        <v>204</v>
      </c>
      <c r="G38" s="115">
        <v>45</v>
      </c>
      <c r="H38" s="112">
        <v>405.37</v>
      </c>
      <c r="I38" s="115">
        <v>15</v>
      </c>
      <c r="J38" s="115">
        <v>5</v>
      </c>
      <c r="K38" s="115">
        <v>10</v>
      </c>
      <c r="L38" s="112">
        <v>405.37</v>
      </c>
      <c r="M38" s="112">
        <v>136.35</v>
      </c>
      <c r="N38" s="112">
        <v>269.02</v>
      </c>
      <c r="O38" s="112">
        <f t="shared" ref="O38:O46" si="7">SUM(P38:R38)</f>
        <v>27945297.510000002</v>
      </c>
      <c r="P38" s="112">
        <v>17079506.210000001</v>
      </c>
      <c r="Q38" s="112">
        <v>9259806.8000000007</v>
      </c>
      <c r="R38" s="112">
        <v>1605984.5</v>
      </c>
      <c r="S38" s="116">
        <v>0</v>
      </c>
      <c r="T38" s="112">
        <v>819856.08</v>
      </c>
      <c r="U38" s="112">
        <v>2100</v>
      </c>
      <c r="V38" s="75"/>
    </row>
    <row r="39" spans="1:22" ht="20.45" customHeight="1">
      <c r="A39" s="93" t="s">
        <v>67</v>
      </c>
      <c r="B39" s="94" t="s">
        <v>367</v>
      </c>
      <c r="C39" s="452" t="s">
        <v>269</v>
      </c>
      <c r="D39" s="106">
        <v>41311</v>
      </c>
      <c r="E39" s="92" t="s">
        <v>154</v>
      </c>
      <c r="F39" s="92" t="s">
        <v>204</v>
      </c>
      <c r="G39" s="115">
        <v>6</v>
      </c>
      <c r="H39" s="112">
        <v>143.94999999999999</v>
      </c>
      <c r="I39" s="115">
        <v>5</v>
      </c>
      <c r="J39" s="115">
        <v>4</v>
      </c>
      <c r="K39" s="115">
        <v>1</v>
      </c>
      <c r="L39" s="112">
        <v>143.94999999999999</v>
      </c>
      <c r="M39" s="112">
        <v>117.45</v>
      </c>
      <c r="N39" s="112">
        <v>26.5</v>
      </c>
      <c r="O39" s="112">
        <f t="shared" si="7"/>
        <v>10691579.459999999</v>
      </c>
      <c r="P39" s="112">
        <v>7147133.0300000003</v>
      </c>
      <c r="Q39" s="112">
        <v>2900804.9</v>
      </c>
      <c r="R39" s="112">
        <v>643641.53</v>
      </c>
      <c r="S39" s="116">
        <v>0</v>
      </c>
      <c r="T39" s="112">
        <v>320100.28999999998</v>
      </c>
      <c r="U39" s="112">
        <v>6300</v>
      </c>
      <c r="V39" s="75"/>
    </row>
    <row r="40" spans="1:22" ht="20.45" customHeight="1">
      <c r="A40" s="93" t="s">
        <v>69</v>
      </c>
      <c r="B40" s="94" t="s">
        <v>271</v>
      </c>
      <c r="C40" s="92" t="s">
        <v>272</v>
      </c>
      <c r="D40" s="106">
        <v>41374</v>
      </c>
      <c r="E40" s="92" t="s">
        <v>154</v>
      </c>
      <c r="F40" s="92" t="s">
        <v>204</v>
      </c>
      <c r="G40" s="115">
        <v>37</v>
      </c>
      <c r="H40" s="112">
        <v>372.58</v>
      </c>
      <c r="I40" s="115">
        <v>12</v>
      </c>
      <c r="J40" s="115">
        <v>2</v>
      </c>
      <c r="K40" s="115">
        <v>10</v>
      </c>
      <c r="L40" s="112">
        <v>372.58</v>
      </c>
      <c r="M40" s="112">
        <v>59.18</v>
      </c>
      <c r="N40" s="112">
        <v>313.39999999999998</v>
      </c>
      <c r="O40" s="112">
        <f t="shared" si="7"/>
        <v>25781157.670000002</v>
      </c>
      <c r="P40" s="112">
        <v>15833685.26</v>
      </c>
      <c r="Q40" s="112">
        <v>8462194.8000000007</v>
      </c>
      <c r="R40" s="112">
        <v>1485277.61</v>
      </c>
      <c r="S40" s="116">
        <v>0</v>
      </c>
      <c r="T40" s="112">
        <v>667686.19999999995</v>
      </c>
      <c r="U40" s="112">
        <v>2100</v>
      </c>
      <c r="V40" s="75"/>
    </row>
    <row r="41" spans="1:22" ht="20.45" customHeight="1">
      <c r="A41" s="93" t="s">
        <v>71</v>
      </c>
      <c r="B41" s="94" t="s">
        <v>274</v>
      </c>
      <c r="C41" s="92" t="s">
        <v>275</v>
      </c>
      <c r="D41" s="106">
        <v>41373</v>
      </c>
      <c r="E41" s="92" t="s">
        <v>154</v>
      </c>
      <c r="F41" s="92" t="s">
        <v>204</v>
      </c>
      <c r="G41" s="115">
        <v>40</v>
      </c>
      <c r="H41" s="112">
        <v>552.29999999999995</v>
      </c>
      <c r="I41" s="115">
        <v>16</v>
      </c>
      <c r="J41" s="115">
        <v>14</v>
      </c>
      <c r="K41" s="115">
        <v>2</v>
      </c>
      <c r="L41" s="112">
        <v>552.29999999999995</v>
      </c>
      <c r="M41" s="112">
        <v>482.5</v>
      </c>
      <c r="N41" s="112">
        <v>69.8</v>
      </c>
      <c r="O41" s="112">
        <f t="shared" si="7"/>
        <v>37642678.490000002</v>
      </c>
      <c r="P41" s="112">
        <v>22661954.32</v>
      </c>
      <c r="Q41" s="112">
        <v>12833858.9</v>
      </c>
      <c r="R41" s="112">
        <v>2146865.27</v>
      </c>
      <c r="S41" s="116">
        <v>0</v>
      </c>
      <c r="T41" s="112">
        <v>985976.78</v>
      </c>
      <c r="U41" s="112">
        <v>21000</v>
      </c>
      <c r="V41" s="75"/>
    </row>
    <row r="42" spans="1:22" ht="20.45" customHeight="1">
      <c r="A42" s="93" t="s">
        <v>73</v>
      </c>
      <c r="B42" s="94" t="s">
        <v>368</v>
      </c>
      <c r="C42" s="92" t="s">
        <v>278</v>
      </c>
      <c r="D42" s="106">
        <v>41247</v>
      </c>
      <c r="E42" s="92" t="s">
        <v>154</v>
      </c>
      <c r="F42" s="92" t="s">
        <v>204</v>
      </c>
      <c r="G42" s="115">
        <v>8</v>
      </c>
      <c r="H42" s="112">
        <v>73.2</v>
      </c>
      <c r="I42" s="115">
        <v>3</v>
      </c>
      <c r="J42" s="115">
        <v>2</v>
      </c>
      <c r="K42" s="115">
        <v>1</v>
      </c>
      <c r="L42" s="112">
        <v>73.2</v>
      </c>
      <c r="M42" s="112">
        <v>53.7</v>
      </c>
      <c r="N42" s="112">
        <v>19.5</v>
      </c>
      <c r="O42" s="112">
        <f t="shared" si="7"/>
        <v>6022079.5599999996</v>
      </c>
      <c r="P42" s="112">
        <v>4459062.5199999996</v>
      </c>
      <c r="Q42" s="112">
        <v>1179819.3999999999</v>
      </c>
      <c r="R42" s="112">
        <v>383197.64</v>
      </c>
      <c r="S42" s="116">
        <v>0</v>
      </c>
      <c r="T42" s="112">
        <v>131002.85</v>
      </c>
      <c r="U42" s="112">
        <v>0</v>
      </c>
      <c r="V42" s="75"/>
    </row>
    <row r="43" spans="1:22" ht="20.45" customHeight="1">
      <c r="A43" s="93" t="s">
        <v>77</v>
      </c>
      <c r="B43" s="94" t="s">
        <v>371</v>
      </c>
      <c r="C43" s="452" t="s">
        <v>281</v>
      </c>
      <c r="D43" s="106">
        <v>41304</v>
      </c>
      <c r="E43" s="92" t="s">
        <v>154</v>
      </c>
      <c r="F43" s="92" t="s">
        <v>204</v>
      </c>
      <c r="G43" s="115">
        <v>11</v>
      </c>
      <c r="H43" s="112">
        <v>76.709999999999994</v>
      </c>
      <c r="I43" s="115">
        <v>3</v>
      </c>
      <c r="J43" s="115">
        <v>1</v>
      </c>
      <c r="K43" s="115">
        <v>2</v>
      </c>
      <c r="L43" s="112">
        <v>76.709999999999994</v>
      </c>
      <c r="M43" s="112">
        <v>43.6</v>
      </c>
      <c r="N43" s="112">
        <v>33.11</v>
      </c>
      <c r="O43" s="112">
        <f t="shared" si="7"/>
        <v>6253739.5000000009</v>
      </c>
      <c r="P43" s="112">
        <v>4592421.1900000004</v>
      </c>
      <c r="Q43" s="112">
        <v>1265200.6000000001</v>
      </c>
      <c r="R43" s="112">
        <v>396117.71</v>
      </c>
      <c r="S43" s="116">
        <v>0</v>
      </c>
      <c r="T43" s="112">
        <v>145495.26999999999</v>
      </c>
      <c r="U43" s="112">
        <v>0</v>
      </c>
      <c r="V43" s="75"/>
    </row>
    <row r="44" spans="1:22" ht="20.45" customHeight="1">
      <c r="A44" s="93" t="s">
        <v>82</v>
      </c>
      <c r="B44" s="455" t="s">
        <v>285</v>
      </c>
      <c r="C44" s="452" t="s">
        <v>286</v>
      </c>
      <c r="D44" s="106">
        <v>42016</v>
      </c>
      <c r="E44" s="454" t="s">
        <v>154</v>
      </c>
      <c r="F44" s="454" t="s">
        <v>204</v>
      </c>
      <c r="G44" s="115">
        <v>7</v>
      </c>
      <c r="H44" s="112">
        <v>106.94</v>
      </c>
      <c r="I44" s="115">
        <v>4</v>
      </c>
      <c r="J44" s="115">
        <v>4</v>
      </c>
      <c r="K44" s="115">
        <v>0</v>
      </c>
      <c r="L44" s="112">
        <v>106.94</v>
      </c>
      <c r="M44" s="112">
        <v>106.94</v>
      </c>
      <c r="N44" s="112">
        <v>0</v>
      </c>
      <c r="O44" s="112">
        <f t="shared" si="7"/>
        <v>8248917.2100000009</v>
      </c>
      <c r="P44" s="112">
        <v>5740977.6900000004</v>
      </c>
      <c r="Q44" s="112">
        <v>2000541.28</v>
      </c>
      <c r="R44" s="112">
        <v>507398.24</v>
      </c>
      <c r="S44" s="116">
        <v>0</v>
      </c>
      <c r="T44" s="112">
        <v>190864.37</v>
      </c>
      <c r="U44" s="112">
        <v>6300</v>
      </c>
      <c r="V44" s="75"/>
    </row>
    <row r="45" spans="1:22" ht="20.45" customHeight="1">
      <c r="A45" s="93" t="s">
        <v>85</v>
      </c>
      <c r="B45" s="455" t="s">
        <v>288</v>
      </c>
      <c r="C45" s="452" t="s">
        <v>289</v>
      </c>
      <c r="D45" s="106">
        <v>41730</v>
      </c>
      <c r="E45" s="454" t="s">
        <v>154</v>
      </c>
      <c r="F45" s="454" t="s">
        <v>204</v>
      </c>
      <c r="G45" s="115">
        <v>47</v>
      </c>
      <c r="H45" s="112">
        <v>269.13</v>
      </c>
      <c r="I45" s="115">
        <v>6</v>
      </c>
      <c r="J45" s="115">
        <v>1</v>
      </c>
      <c r="K45" s="115">
        <v>5</v>
      </c>
      <c r="L45" s="112">
        <v>269.13</v>
      </c>
      <c r="M45" s="112">
        <v>56.2</v>
      </c>
      <c r="N45" s="112">
        <v>212.93</v>
      </c>
      <c r="O45" s="112">
        <f t="shared" si="7"/>
        <v>18953462.5</v>
      </c>
      <c r="P45" s="112">
        <v>11903213.199999999</v>
      </c>
      <c r="Q45" s="112">
        <v>5945792.4000000004</v>
      </c>
      <c r="R45" s="112">
        <v>1104456.8999999999</v>
      </c>
      <c r="S45" s="116">
        <v>0</v>
      </c>
      <c r="T45" s="112">
        <v>478588.76</v>
      </c>
      <c r="U45" s="112">
        <v>0</v>
      </c>
      <c r="V45" s="75"/>
    </row>
    <row r="46" spans="1:22" ht="20.45" customHeight="1">
      <c r="A46" s="93" t="s">
        <v>88</v>
      </c>
      <c r="B46" s="455" t="s">
        <v>369</v>
      </c>
      <c r="C46" s="452" t="s">
        <v>292</v>
      </c>
      <c r="D46" s="106">
        <v>42046</v>
      </c>
      <c r="E46" s="454" t="s">
        <v>154</v>
      </c>
      <c r="F46" s="454" t="s">
        <v>204</v>
      </c>
      <c r="G46" s="115">
        <v>23</v>
      </c>
      <c r="H46" s="112">
        <v>338.77</v>
      </c>
      <c r="I46" s="115">
        <v>12</v>
      </c>
      <c r="J46" s="115">
        <v>10</v>
      </c>
      <c r="K46" s="115">
        <v>2</v>
      </c>
      <c r="L46" s="112">
        <v>338.77</v>
      </c>
      <c r="M46" s="112">
        <v>267.41000000000003</v>
      </c>
      <c r="N46" s="112">
        <v>71.36</v>
      </c>
      <c r="O46" s="112">
        <f t="shared" si="7"/>
        <v>23549697.75</v>
      </c>
      <c r="P46" s="112">
        <v>14549110.49</v>
      </c>
      <c r="Q46" s="112">
        <v>7639770.4000000004</v>
      </c>
      <c r="R46" s="112">
        <v>1360816.86</v>
      </c>
      <c r="S46" s="116">
        <v>0</v>
      </c>
      <c r="T46" s="112">
        <v>663991.69999999995</v>
      </c>
      <c r="U46" s="112">
        <v>6300</v>
      </c>
      <c r="V46" s="75"/>
    </row>
    <row r="47" spans="1:22" s="142" customFormat="1" ht="22.15" customHeight="1">
      <c r="A47" s="513" t="s">
        <v>776</v>
      </c>
      <c r="B47" s="514"/>
      <c r="C47" s="456"/>
      <c r="D47" s="456"/>
      <c r="E47" s="456"/>
      <c r="F47" s="456"/>
      <c r="G47" s="457"/>
      <c r="H47" s="458"/>
      <c r="I47" s="457"/>
      <c r="J47" s="457"/>
      <c r="K47" s="457"/>
      <c r="L47" s="458"/>
      <c r="M47" s="459"/>
      <c r="N47" s="458"/>
      <c r="O47" s="460"/>
      <c r="P47" s="460"/>
      <c r="Q47" s="460"/>
      <c r="R47" s="460"/>
      <c r="S47" s="461"/>
      <c r="T47" s="458"/>
      <c r="U47" s="458"/>
      <c r="V47" s="141"/>
    </row>
    <row r="48" spans="1:22" s="110" customFormat="1" ht="3.6" hidden="1" customHeight="1">
      <c r="A48" s="507" t="s">
        <v>282</v>
      </c>
      <c r="B48" s="508"/>
      <c r="C48" s="462" t="s">
        <v>28</v>
      </c>
      <c r="D48" s="462" t="s">
        <v>28</v>
      </c>
      <c r="E48" s="462" t="s">
        <v>28</v>
      </c>
      <c r="F48" s="462" t="s">
        <v>28</v>
      </c>
      <c r="G48" s="463"/>
      <c r="H48" s="464"/>
      <c r="I48" s="463"/>
      <c r="J48" s="463"/>
      <c r="K48" s="463"/>
      <c r="L48" s="464"/>
      <c r="M48" s="464"/>
      <c r="N48" s="464"/>
      <c r="O48" s="464"/>
      <c r="P48" s="464"/>
      <c r="Q48" s="464"/>
      <c r="R48" s="464"/>
      <c r="S48" s="465"/>
      <c r="T48" s="464"/>
      <c r="U48" s="464"/>
      <c r="V48" s="109"/>
    </row>
    <row r="49" spans="1:22" ht="34.5">
      <c r="A49" s="466">
        <v>1</v>
      </c>
      <c r="B49" s="467" t="s">
        <v>424</v>
      </c>
      <c r="C49" s="456" t="s">
        <v>362</v>
      </c>
      <c r="D49" s="456" t="s">
        <v>362</v>
      </c>
      <c r="E49" s="456" t="s">
        <v>362</v>
      </c>
      <c r="F49" s="456" t="s">
        <v>84</v>
      </c>
      <c r="G49" s="457" t="s">
        <v>362</v>
      </c>
      <c r="H49" s="458"/>
      <c r="I49" s="457" t="s">
        <v>362</v>
      </c>
      <c r="J49" s="457" t="s">
        <v>362</v>
      </c>
      <c r="K49" s="457" t="s">
        <v>362</v>
      </c>
      <c r="L49" s="458" t="s">
        <v>362</v>
      </c>
      <c r="M49" s="459">
        <v>0</v>
      </c>
      <c r="N49" s="458">
        <v>0</v>
      </c>
      <c r="O49" s="460">
        <v>0</v>
      </c>
      <c r="P49" s="460">
        <v>0</v>
      </c>
      <c r="Q49" s="460">
        <v>0</v>
      </c>
      <c r="R49" s="460">
        <v>0</v>
      </c>
      <c r="S49" s="461">
        <v>0</v>
      </c>
      <c r="T49" s="458">
        <v>634700.44999999995</v>
      </c>
      <c r="U49" s="458"/>
      <c r="V49" s="81"/>
    </row>
    <row r="51" spans="1:22">
      <c r="P51" s="469">
        <v>1677906.8160000001</v>
      </c>
      <c r="Q51">
        <v>600759.04399999999</v>
      </c>
      <c r="R51">
        <v>5320</v>
      </c>
    </row>
    <row r="52" spans="1:22">
      <c r="O52" s="145">
        <f>SUM(O37:O46)</f>
        <v>184098829.23000002</v>
      </c>
      <c r="Q52" s="145">
        <f>SUM(Q37:Q46)</f>
        <v>57454499.380000003</v>
      </c>
      <c r="R52" s="145">
        <f>SUM(R37:R46)</f>
        <v>10741377.960000001</v>
      </c>
    </row>
    <row r="53" spans="1:22" ht="17.25">
      <c r="O53" s="468">
        <v>184098829.22999999</v>
      </c>
      <c r="P53" s="470">
        <v>115902951.89</v>
      </c>
      <c r="Q53" s="471">
        <v>57454499.380000003</v>
      </c>
      <c r="R53" s="472">
        <v>10741377.960000001</v>
      </c>
    </row>
  </sheetData>
  <mergeCells count="28">
    <mergeCell ref="B14:B16"/>
    <mergeCell ref="K8:T8"/>
    <mergeCell ref="A14:A16"/>
    <mergeCell ref="E14:E16"/>
    <mergeCell ref="F14:F16"/>
    <mergeCell ref="Q15:R15"/>
    <mergeCell ref="S15:S16"/>
    <mergeCell ref="C14:D15"/>
    <mergeCell ref="G14:G16"/>
    <mergeCell ref="H14:H16"/>
    <mergeCell ref="A48:B48"/>
    <mergeCell ref="A27:B27"/>
    <mergeCell ref="A36:B36"/>
    <mergeCell ref="A24:B24"/>
    <mergeCell ref="A19:B19"/>
    <mergeCell ref="A20:B20"/>
    <mergeCell ref="A47:B47"/>
    <mergeCell ref="U14:U15"/>
    <mergeCell ref="T14:T15"/>
    <mergeCell ref="I15:I16"/>
    <mergeCell ref="J15:K15"/>
    <mergeCell ref="L15:L16"/>
    <mergeCell ref="M15:N15"/>
    <mergeCell ref="O15:O16"/>
    <mergeCell ref="P15:P16"/>
    <mergeCell ref="I14:K14"/>
    <mergeCell ref="O14:S14"/>
    <mergeCell ref="L14:N14"/>
  </mergeCells>
  <phoneticPr fontId="63" type="noConversion"/>
  <printOptions horizontalCentered="1"/>
  <pageMargins left="0" right="0" top="0.55118110236220474" bottom="0.35433070866141736" header="0.31496062992125984" footer="0.31496062992125984"/>
  <pageSetup paperSize="9" scale="63" fitToHeight="2" orientation="landscape" r:id="rId1"/>
</worksheet>
</file>

<file path=xl/worksheets/sheet4.xml><?xml version="1.0" encoding="utf-8"?>
<worksheet xmlns="http://schemas.openxmlformats.org/spreadsheetml/2006/main" xmlns:r="http://schemas.openxmlformats.org/officeDocument/2006/relationships">
  <sheetPr>
    <tabColor rgb="FF00B0F0"/>
    <pageSetUpPr fitToPage="1"/>
  </sheetPr>
  <dimension ref="A1:T34"/>
  <sheetViews>
    <sheetView topLeftCell="A19" workbookViewId="0">
      <selection activeCell="F33" sqref="F33"/>
    </sheetView>
  </sheetViews>
  <sheetFormatPr defaultRowHeight="15"/>
  <cols>
    <col min="1" max="1" width="3.28515625" customWidth="1"/>
    <col min="2" max="2" width="22.5703125" customWidth="1"/>
    <col min="3" max="3" width="4.42578125" customWidth="1"/>
    <col min="5" max="6" width="10" customWidth="1"/>
    <col min="7" max="8" width="5.5703125" customWidth="1"/>
    <col min="9" max="9" width="10.42578125" customWidth="1"/>
    <col min="10" max="12" width="5.5703125" customWidth="1"/>
    <col min="13" max="15" width="10.140625" customWidth="1"/>
    <col min="16" max="19" width="15" customWidth="1"/>
    <col min="20" max="20" width="2.7109375" customWidth="1"/>
  </cols>
  <sheetData>
    <row r="1" spans="1:19">
      <c r="K1">
        <v>16</v>
      </c>
      <c r="L1" s="118"/>
      <c r="M1" s="118"/>
      <c r="N1" s="82"/>
      <c r="O1" s="118"/>
      <c r="P1" s="118"/>
      <c r="Q1" s="118"/>
      <c r="R1" s="118"/>
      <c r="S1" s="118"/>
    </row>
    <row r="2" spans="1:19">
      <c r="L2" s="118"/>
      <c r="M2" s="118"/>
      <c r="N2" s="82" t="s">
        <v>372</v>
      </c>
      <c r="O2" s="118"/>
      <c r="P2" s="118"/>
      <c r="Q2" s="118"/>
      <c r="R2" s="118"/>
      <c r="S2" s="118"/>
    </row>
    <row r="3" spans="1:19">
      <c r="L3" s="118"/>
      <c r="M3" s="118"/>
      <c r="N3" s="82" t="s">
        <v>294</v>
      </c>
      <c r="O3" s="118"/>
      <c r="P3" s="118"/>
      <c r="Q3" s="118"/>
      <c r="R3" s="118"/>
      <c r="S3" s="118"/>
    </row>
    <row r="4" spans="1:19">
      <c r="L4" s="118"/>
      <c r="M4" s="118"/>
      <c r="N4" s="82" t="s">
        <v>295</v>
      </c>
      <c r="O4" s="118"/>
      <c r="P4" s="118"/>
      <c r="Q4" s="118"/>
      <c r="R4" s="118"/>
      <c r="S4" s="118"/>
    </row>
    <row r="5" spans="1:19">
      <c r="L5" s="118"/>
      <c r="M5" s="118"/>
      <c r="N5" s="82" t="s">
        <v>296</v>
      </c>
      <c r="O5" s="118"/>
      <c r="P5" s="118"/>
      <c r="Q5" s="118"/>
      <c r="R5" s="118"/>
      <c r="S5" s="118"/>
    </row>
    <row r="6" spans="1:19" ht="6.6" customHeight="1">
      <c r="L6" s="118"/>
      <c r="M6" s="118"/>
      <c r="N6" s="82"/>
      <c r="O6" s="118"/>
      <c r="P6" s="118"/>
      <c r="Q6" s="118"/>
      <c r="R6" s="118"/>
      <c r="S6" s="118"/>
    </row>
    <row r="7" spans="1:19">
      <c r="L7" s="118"/>
      <c r="M7" s="118"/>
      <c r="N7" s="82" t="s">
        <v>768</v>
      </c>
      <c r="O7" s="118"/>
      <c r="P7" s="118"/>
      <c r="Q7" s="118"/>
      <c r="R7" s="118"/>
      <c r="S7" s="118"/>
    </row>
    <row r="8" spans="1:19" ht="55.9" customHeight="1">
      <c r="L8" s="75"/>
      <c r="M8" s="75"/>
      <c r="N8" s="520" t="s">
        <v>297</v>
      </c>
      <c r="O8" s="504"/>
      <c r="P8" s="504"/>
      <c r="Q8" s="504"/>
      <c r="R8" s="504"/>
      <c r="S8" s="504"/>
    </row>
    <row r="9" spans="1:19">
      <c r="A9" s="73"/>
      <c r="J9" s="74" t="s">
        <v>342</v>
      </c>
    </row>
    <row r="10" spans="1:19">
      <c r="J10" s="74" t="s">
        <v>343</v>
      </c>
    </row>
    <row r="11" spans="1:19">
      <c r="J11" s="74" t="s">
        <v>373</v>
      </c>
    </row>
    <row r="12" spans="1:19">
      <c r="J12" s="80" t="s">
        <v>326</v>
      </c>
    </row>
    <row r="13" spans="1:19" ht="15.75">
      <c r="A13" s="72"/>
    </row>
    <row r="14" spans="1:19">
      <c r="A14" s="533" t="s">
        <v>3</v>
      </c>
      <c r="B14" s="533" t="s">
        <v>345</v>
      </c>
      <c r="C14" s="533" t="s">
        <v>346</v>
      </c>
      <c r="D14" s="534"/>
      <c r="E14" s="536" t="s">
        <v>418</v>
      </c>
      <c r="F14" s="536" t="s">
        <v>419</v>
      </c>
      <c r="G14" s="536" t="s">
        <v>374</v>
      </c>
      <c r="H14" s="536" t="s">
        <v>349</v>
      </c>
      <c r="I14" s="536" t="s">
        <v>375</v>
      </c>
      <c r="J14" s="533" t="s">
        <v>351</v>
      </c>
      <c r="K14" s="534"/>
      <c r="L14" s="534"/>
      <c r="M14" s="526" t="s">
        <v>10</v>
      </c>
      <c r="N14" s="528"/>
      <c r="O14" s="527"/>
      <c r="P14" s="523" t="s">
        <v>420</v>
      </c>
      <c r="Q14" s="524"/>
      <c r="R14" s="525"/>
      <c r="S14" s="130" t="s">
        <v>376</v>
      </c>
    </row>
    <row r="15" spans="1:19" ht="48" customHeight="1">
      <c r="A15" s="535"/>
      <c r="B15" s="535"/>
      <c r="C15" s="534"/>
      <c r="D15" s="534"/>
      <c r="E15" s="537"/>
      <c r="F15" s="537"/>
      <c r="G15" s="543"/>
      <c r="H15" s="537"/>
      <c r="I15" s="537"/>
      <c r="J15" s="542" t="s">
        <v>13</v>
      </c>
      <c r="K15" s="533" t="s">
        <v>14</v>
      </c>
      <c r="L15" s="534"/>
      <c r="M15" s="540" t="s">
        <v>13</v>
      </c>
      <c r="N15" s="129" t="s">
        <v>14</v>
      </c>
      <c r="O15" s="129"/>
      <c r="P15" s="521" t="s">
        <v>377</v>
      </c>
      <c r="Q15" s="526" t="s">
        <v>416</v>
      </c>
      <c r="R15" s="527"/>
      <c r="S15" s="538" t="s">
        <v>361</v>
      </c>
    </row>
    <row r="16" spans="1:19" ht="99" customHeight="1">
      <c r="A16" s="535"/>
      <c r="B16" s="535"/>
      <c r="C16" s="132" t="s">
        <v>21</v>
      </c>
      <c r="D16" s="132" t="s">
        <v>22</v>
      </c>
      <c r="E16" s="537"/>
      <c r="F16" s="537"/>
      <c r="G16" s="543"/>
      <c r="H16" s="537"/>
      <c r="I16" s="537"/>
      <c r="J16" s="541"/>
      <c r="K16" s="131" t="s">
        <v>358</v>
      </c>
      <c r="L16" s="131" t="s">
        <v>359</v>
      </c>
      <c r="M16" s="541"/>
      <c r="N16" s="131" t="s">
        <v>358</v>
      </c>
      <c r="O16" s="131" t="s">
        <v>359</v>
      </c>
      <c r="P16" s="522"/>
      <c r="Q16" s="131" t="s">
        <v>415</v>
      </c>
      <c r="R16" s="131" t="s">
        <v>361</v>
      </c>
      <c r="S16" s="539"/>
    </row>
    <row r="17" spans="1:20">
      <c r="A17" s="119"/>
      <c r="B17" s="120"/>
      <c r="C17" s="121"/>
      <c r="D17" s="121"/>
      <c r="E17" s="122"/>
      <c r="F17" s="122"/>
      <c r="G17" s="123" t="s">
        <v>23</v>
      </c>
      <c r="H17" s="123" t="s">
        <v>23</v>
      </c>
      <c r="I17" s="123" t="s">
        <v>417</v>
      </c>
      <c r="J17" s="123" t="s">
        <v>24</v>
      </c>
      <c r="K17" s="123" t="s">
        <v>24</v>
      </c>
      <c r="L17" s="123" t="s">
        <v>24</v>
      </c>
      <c r="M17" s="124" t="s">
        <v>417</v>
      </c>
      <c r="N17" s="124" t="s">
        <v>417</v>
      </c>
      <c r="O17" s="124" t="s">
        <v>417</v>
      </c>
      <c r="P17" s="123" t="s">
        <v>26</v>
      </c>
      <c r="Q17" s="123" t="s">
        <v>26</v>
      </c>
      <c r="R17" s="123" t="s">
        <v>26</v>
      </c>
      <c r="S17" s="123" t="s">
        <v>26</v>
      </c>
    </row>
    <row r="18" spans="1:20">
      <c r="A18" s="123">
        <v>1</v>
      </c>
      <c r="B18" s="123">
        <f>A18+1</f>
        <v>2</v>
      </c>
      <c r="C18" s="123">
        <f t="shared" ref="C18:S18" si="0">B18+1</f>
        <v>3</v>
      </c>
      <c r="D18" s="123">
        <f t="shared" si="0"/>
        <v>4</v>
      </c>
      <c r="E18" s="123">
        <f t="shared" si="0"/>
        <v>5</v>
      </c>
      <c r="F18" s="123">
        <f t="shared" si="0"/>
        <v>6</v>
      </c>
      <c r="G18" s="123">
        <f t="shared" si="0"/>
        <v>7</v>
      </c>
      <c r="H18" s="123">
        <f t="shared" si="0"/>
        <v>8</v>
      </c>
      <c r="I18" s="123">
        <f t="shared" si="0"/>
        <v>9</v>
      </c>
      <c r="J18" s="123">
        <f t="shared" si="0"/>
        <v>10</v>
      </c>
      <c r="K18" s="123">
        <f t="shared" si="0"/>
        <v>11</v>
      </c>
      <c r="L18" s="123">
        <f t="shared" si="0"/>
        <v>12</v>
      </c>
      <c r="M18" s="123">
        <f t="shared" si="0"/>
        <v>13</v>
      </c>
      <c r="N18" s="123">
        <f t="shared" si="0"/>
        <v>14</v>
      </c>
      <c r="O18" s="123">
        <f t="shared" si="0"/>
        <v>15</v>
      </c>
      <c r="P18" s="123">
        <f t="shared" si="0"/>
        <v>16</v>
      </c>
      <c r="Q18" s="123">
        <f t="shared" si="0"/>
        <v>17</v>
      </c>
      <c r="R18" s="123">
        <f t="shared" si="0"/>
        <v>18</v>
      </c>
      <c r="S18" s="123">
        <f t="shared" si="0"/>
        <v>19</v>
      </c>
    </row>
    <row r="19" spans="1:20" s="110" customFormat="1" ht="46.15" customHeight="1">
      <c r="A19" s="531" t="s">
        <v>378</v>
      </c>
      <c r="B19" s="532"/>
      <c r="C19" s="126" t="s">
        <v>28</v>
      </c>
      <c r="D19" s="126" t="s">
        <v>28</v>
      </c>
      <c r="E19" s="126" t="s">
        <v>28</v>
      </c>
      <c r="F19" s="126" t="s">
        <v>28</v>
      </c>
      <c r="G19" s="126">
        <f>G20+G30</f>
        <v>153</v>
      </c>
      <c r="H19" s="126">
        <f t="shared" ref="H19:S19" si="1">H20+H30</f>
        <v>153</v>
      </c>
      <c r="I19" s="136">
        <f t="shared" si="1"/>
        <v>2234.9499999999998</v>
      </c>
      <c r="J19" s="126">
        <f>L19+K19</f>
        <v>62</v>
      </c>
      <c r="K19" s="126">
        <f t="shared" si="1"/>
        <v>38</v>
      </c>
      <c r="L19" s="126">
        <f t="shared" si="1"/>
        <v>24</v>
      </c>
      <c r="M19" s="136">
        <f>N19+O19</f>
        <v>2234.9499999999998</v>
      </c>
      <c r="N19" s="136">
        <f t="shared" si="1"/>
        <v>1391.15</v>
      </c>
      <c r="O19" s="136">
        <f t="shared" si="1"/>
        <v>843.8</v>
      </c>
      <c r="P19" s="410">
        <f>Q19+R19</f>
        <v>126051180</v>
      </c>
      <c r="Q19" s="136">
        <f t="shared" si="1"/>
        <v>100840944</v>
      </c>
      <c r="R19" s="136">
        <f t="shared" si="1"/>
        <v>25210236</v>
      </c>
      <c r="S19" s="136">
        <f t="shared" si="1"/>
        <v>547998.85</v>
      </c>
    </row>
    <row r="20" spans="1:20" s="110" customFormat="1">
      <c r="A20" s="530" t="s">
        <v>770</v>
      </c>
      <c r="B20" s="530"/>
      <c r="C20" s="126" t="s">
        <v>79</v>
      </c>
      <c r="D20" s="126" t="s">
        <v>79</v>
      </c>
      <c r="E20" s="126" t="s">
        <v>79</v>
      </c>
      <c r="F20" s="126" t="s">
        <v>79</v>
      </c>
      <c r="G20" s="127">
        <f>SUM(G21:G29)</f>
        <v>120</v>
      </c>
      <c r="H20" s="127">
        <f t="shared" ref="H20:S20" si="2">SUM(H21:H29)</f>
        <v>120</v>
      </c>
      <c r="I20" s="137">
        <f t="shared" si="2"/>
        <v>1740.1999999999998</v>
      </c>
      <c r="J20" s="126">
        <f t="shared" ref="J20:J32" si="3">L20+K20</f>
        <v>46</v>
      </c>
      <c r="K20" s="127">
        <f t="shared" si="2"/>
        <v>27</v>
      </c>
      <c r="L20" s="127">
        <f t="shared" si="2"/>
        <v>19</v>
      </c>
      <c r="M20" s="136">
        <f t="shared" ref="M20:M32" si="4">N20+O20</f>
        <v>1740.2</v>
      </c>
      <c r="N20" s="137">
        <f t="shared" si="2"/>
        <v>1041.47</v>
      </c>
      <c r="O20" s="137">
        <f t="shared" si="2"/>
        <v>698.73</v>
      </c>
      <c r="P20" s="410">
        <f t="shared" ref="P20:P32" si="5">Q20+R20</f>
        <v>98147280</v>
      </c>
      <c r="Q20" s="137">
        <f t="shared" si="2"/>
        <v>78517824</v>
      </c>
      <c r="R20" s="137">
        <f t="shared" si="2"/>
        <v>19629456</v>
      </c>
      <c r="S20" s="137">
        <f t="shared" si="2"/>
        <v>547998.85</v>
      </c>
      <c r="T20" s="110" t="s">
        <v>380</v>
      </c>
    </row>
    <row r="21" spans="1:20" ht="25.9" customHeight="1">
      <c r="A21" s="123" t="s">
        <v>34</v>
      </c>
      <c r="B21" s="125" t="s">
        <v>756</v>
      </c>
      <c r="C21" s="123">
        <v>1245</v>
      </c>
      <c r="D21" s="128">
        <v>43280</v>
      </c>
      <c r="E21" s="125" t="s">
        <v>205</v>
      </c>
      <c r="F21" s="125" t="s">
        <v>283</v>
      </c>
      <c r="G21" s="123">
        <v>2</v>
      </c>
      <c r="H21" s="123">
        <v>2</v>
      </c>
      <c r="I21" s="138">
        <v>63.97</v>
      </c>
      <c r="J21" s="123">
        <f t="shared" si="3"/>
        <v>2</v>
      </c>
      <c r="K21" s="123">
        <v>1</v>
      </c>
      <c r="L21" s="123">
        <v>1</v>
      </c>
      <c r="M21" s="138">
        <f t="shared" si="4"/>
        <v>63.97</v>
      </c>
      <c r="N21" s="138">
        <v>39.81</v>
      </c>
      <c r="O21" s="138">
        <v>24.16</v>
      </c>
      <c r="P21" s="411">
        <f t="shared" si="5"/>
        <v>3607908</v>
      </c>
      <c r="Q21" s="138">
        <f>'26-27'!C2</f>
        <v>2886326.4</v>
      </c>
      <c r="R21" s="138">
        <f>'26-27'!D2</f>
        <v>721581.6</v>
      </c>
      <c r="S21" s="412">
        <v>114172.38</v>
      </c>
    </row>
    <row r="22" spans="1:20" ht="25.9" customHeight="1">
      <c r="A22" s="123" t="s">
        <v>38</v>
      </c>
      <c r="B22" s="125" t="s">
        <v>757</v>
      </c>
      <c r="C22" s="123">
        <v>1244</v>
      </c>
      <c r="D22" s="128">
        <v>43280</v>
      </c>
      <c r="E22" s="125" t="s">
        <v>205</v>
      </c>
      <c r="F22" s="125" t="s">
        <v>283</v>
      </c>
      <c r="G22" s="123">
        <v>7</v>
      </c>
      <c r="H22" s="123">
        <v>7</v>
      </c>
      <c r="I22" s="138">
        <v>260.56</v>
      </c>
      <c r="J22" s="123">
        <f t="shared" si="3"/>
        <v>7</v>
      </c>
      <c r="K22" s="123">
        <v>6</v>
      </c>
      <c r="L22" s="123">
        <v>1</v>
      </c>
      <c r="M22" s="138">
        <f t="shared" si="4"/>
        <v>260.56</v>
      </c>
      <c r="N22" s="138">
        <v>221.35</v>
      </c>
      <c r="O22" s="138">
        <v>39.21</v>
      </c>
      <c r="P22" s="411">
        <f t="shared" si="5"/>
        <v>14695584</v>
      </c>
      <c r="Q22" s="138">
        <f>'26-27'!C3</f>
        <v>11756467.199999999</v>
      </c>
      <c r="R22" s="138">
        <f>'26-27'!D3</f>
        <v>2939116.8</v>
      </c>
      <c r="S22" s="412"/>
      <c r="T22" t="s">
        <v>380</v>
      </c>
    </row>
    <row r="23" spans="1:20" ht="25.9" customHeight="1">
      <c r="A23" s="123" t="s">
        <v>41</v>
      </c>
      <c r="B23" s="125" t="s">
        <v>381</v>
      </c>
      <c r="C23" s="123">
        <v>1252</v>
      </c>
      <c r="D23" s="128">
        <v>43280</v>
      </c>
      <c r="E23" s="125" t="s">
        <v>205</v>
      </c>
      <c r="F23" s="125" t="s">
        <v>283</v>
      </c>
      <c r="G23" s="123">
        <v>22</v>
      </c>
      <c r="H23" s="123">
        <v>22</v>
      </c>
      <c r="I23" s="138">
        <v>243.07</v>
      </c>
      <c r="J23" s="123">
        <f t="shared" si="3"/>
        <v>6</v>
      </c>
      <c r="K23" s="123">
        <v>3</v>
      </c>
      <c r="L23" s="123">
        <v>3</v>
      </c>
      <c r="M23" s="138">
        <f t="shared" si="4"/>
        <v>243.07</v>
      </c>
      <c r="N23" s="138">
        <v>77.5</v>
      </c>
      <c r="O23" s="138">
        <v>165.57</v>
      </c>
      <c r="P23" s="411">
        <f t="shared" si="5"/>
        <v>13709148</v>
      </c>
      <c r="Q23" s="138">
        <f>'26-27'!C4</f>
        <v>10967318.4</v>
      </c>
      <c r="R23" s="138">
        <f>'26-27'!D4</f>
        <v>2741829.6</v>
      </c>
      <c r="S23" s="412">
        <v>433826.47</v>
      </c>
    </row>
    <row r="24" spans="1:20" ht="25.9" customHeight="1">
      <c r="A24" s="123" t="s">
        <v>43</v>
      </c>
      <c r="B24" s="125" t="s">
        <v>382</v>
      </c>
      <c r="C24" s="123">
        <v>1247</v>
      </c>
      <c r="D24" s="128">
        <v>43280</v>
      </c>
      <c r="E24" s="125" t="s">
        <v>205</v>
      </c>
      <c r="F24" s="125" t="s">
        <v>283</v>
      </c>
      <c r="G24" s="123">
        <v>27</v>
      </c>
      <c r="H24" s="123">
        <v>27</v>
      </c>
      <c r="I24" s="138">
        <v>444.07</v>
      </c>
      <c r="J24" s="123">
        <f t="shared" si="3"/>
        <v>8</v>
      </c>
      <c r="K24" s="123">
        <v>5</v>
      </c>
      <c r="L24" s="123">
        <v>3</v>
      </c>
      <c r="M24" s="138">
        <f t="shared" si="4"/>
        <v>444.07000000000005</v>
      </c>
      <c r="N24" s="138">
        <v>278.16000000000003</v>
      </c>
      <c r="O24" s="138">
        <v>165.91</v>
      </c>
      <c r="P24" s="411">
        <f t="shared" si="5"/>
        <v>25045548</v>
      </c>
      <c r="Q24" s="138">
        <f>'26-27'!C5</f>
        <v>20036438.399999999</v>
      </c>
      <c r="R24" s="138">
        <f>'26-27'!D5</f>
        <v>5009109.5999999996</v>
      </c>
      <c r="S24" s="412"/>
      <c r="T24" t="s">
        <v>380</v>
      </c>
    </row>
    <row r="25" spans="1:20" ht="25.9" customHeight="1">
      <c r="A25" s="123" t="s">
        <v>45</v>
      </c>
      <c r="B25" s="125" t="s">
        <v>383</v>
      </c>
      <c r="C25" s="123">
        <v>1248</v>
      </c>
      <c r="D25" s="128">
        <v>43280</v>
      </c>
      <c r="E25" s="125" t="s">
        <v>205</v>
      </c>
      <c r="F25" s="125" t="s">
        <v>283</v>
      </c>
      <c r="G25" s="123">
        <v>11</v>
      </c>
      <c r="H25" s="123">
        <v>11</v>
      </c>
      <c r="I25" s="138">
        <v>224.64</v>
      </c>
      <c r="J25" s="123">
        <f t="shared" si="3"/>
        <v>4</v>
      </c>
      <c r="K25" s="123">
        <v>4</v>
      </c>
      <c r="L25" s="123"/>
      <c r="M25" s="138">
        <f t="shared" si="4"/>
        <v>224.64</v>
      </c>
      <c r="N25" s="138">
        <v>224.64</v>
      </c>
      <c r="O25" s="138">
        <v>0</v>
      </c>
      <c r="P25" s="411">
        <f t="shared" si="5"/>
        <v>12669696</v>
      </c>
      <c r="Q25" s="138">
        <f>'26-27'!C6</f>
        <v>10135756.800000001</v>
      </c>
      <c r="R25" s="138">
        <f>'26-27'!D6</f>
        <v>2533939.2000000002</v>
      </c>
      <c r="S25" s="412"/>
      <c r="T25" t="s">
        <v>380</v>
      </c>
    </row>
    <row r="26" spans="1:20" ht="25.9" customHeight="1">
      <c r="A26" s="123" t="s">
        <v>48</v>
      </c>
      <c r="B26" s="125" t="s">
        <v>758</v>
      </c>
      <c r="C26" s="123">
        <v>1253</v>
      </c>
      <c r="D26" s="128">
        <v>43280</v>
      </c>
      <c r="E26" s="125" t="s">
        <v>205</v>
      </c>
      <c r="F26" s="125" t="s">
        <v>283</v>
      </c>
      <c r="G26" s="123">
        <v>10</v>
      </c>
      <c r="H26" s="123">
        <v>10</v>
      </c>
      <c r="I26" s="138">
        <v>181.03</v>
      </c>
      <c r="J26" s="123">
        <f t="shared" si="3"/>
        <v>7</v>
      </c>
      <c r="K26" s="123">
        <v>3</v>
      </c>
      <c r="L26" s="123">
        <v>4</v>
      </c>
      <c r="M26" s="138">
        <f t="shared" si="4"/>
        <v>181.03</v>
      </c>
      <c r="N26" s="138">
        <v>83.83</v>
      </c>
      <c r="O26" s="138">
        <v>97.2</v>
      </c>
      <c r="P26" s="411">
        <f t="shared" si="5"/>
        <v>10210092</v>
      </c>
      <c r="Q26" s="138">
        <f>'26-27'!C7</f>
        <v>8168073.5999999996</v>
      </c>
      <c r="R26" s="138">
        <f>'26-27'!D7</f>
        <v>2042018.4</v>
      </c>
      <c r="S26" s="412"/>
      <c r="T26" t="s">
        <v>380</v>
      </c>
    </row>
    <row r="27" spans="1:20" ht="25.9" customHeight="1">
      <c r="A27" s="123" t="s">
        <v>51</v>
      </c>
      <c r="B27" s="125" t="s">
        <v>759</v>
      </c>
      <c r="C27" s="123">
        <v>1249</v>
      </c>
      <c r="D27" s="128">
        <v>43280</v>
      </c>
      <c r="E27" s="125" t="s">
        <v>205</v>
      </c>
      <c r="F27" s="125" t="s">
        <v>283</v>
      </c>
      <c r="G27" s="123">
        <v>12</v>
      </c>
      <c r="H27" s="123">
        <v>12</v>
      </c>
      <c r="I27" s="138">
        <v>103.69</v>
      </c>
      <c r="J27" s="123">
        <f t="shared" si="3"/>
        <v>4</v>
      </c>
      <c r="K27" s="123">
        <v>2</v>
      </c>
      <c r="L27" s="123">
        <v>2</v>
      </c>
      <c r="M27" s="138">
        <f t="shared" si="4"/>
        <v>103.69</v>
      </c>
      <c r="N27" s="138">
        <v>53.69</v>
      </c>
      <c r="O27" s="138">
        <v>50</v>
      </c>
      <c r="P27" s="411">
        <f t="shared" si="5"/>
        <v>5848116</v>
      </c>
      <c r="Q27" s="138">
        <f>'26-27'!C8</f>
        <v>4678492.8</v>
      </c>
      <c r="R27" s="138">
        <f>'26-27'!D8</f>
        <v>1169623.2</v>
      </c>
      <c r="S27" s="412"/>
      <c r="T27" t="s">
        <v>380</v>
      </c>
    </row>
    <row r="28" spans="1:20" ht="25.9" customHeight="1">
      <c r="A28" s="123" t="s">
        <v>55</v>
      </c>
      <c r="B28" s="125" t="s">
        <v>760</v>
      </c>
      <c r="C28" s="123">
        <v>1246</v>
      </c>
      <c r="D28" s="128">
        <v>43280</v>
      </c>
      <c r="E28" s="125" t="s">
        <v>205</v>
      </c>
      <c r="F28" s="125" t="s">
        <v>283</v>
      </c>
      <c r="G28" s="123">
        <v>17</v>
      </c>
      <c r="H28" s="123">
        <v>17</v>
      </c>
      <c r="I28" s="138">
        <v>150.79</v>
      </c>
      <c r="J28" s="123">
        <f t="shared" si="3"/>
        <v>4</v>
      </c>
      <c r="K28" s="123">
        <v>1</v>
      </c>
      <c r="L28" s="123">
        <v>3</v>
      </c>
      <c r="M28" s="138">
        <f t="shared" si="4"/>
        <v>150.79</v>
      </c>
      <c r="N28" s="138">
        <v>24.45</v>
      </c>
      <c r="O28" s="138">
        <v>126.34</v>
      </c>
      <c r="P28" s="411">
        <f t="shared" si="5"/>
        <v>8504556</v>
      </c>
      <c r="Q28" s="138">
        <f>'26-27'!C9</f>
        <v>6803644.7999999998</v>
      </c>
      <c r="R28" s="138">
        <f>'26-27'!D9</f>
        <v>1700911.2</v>
      </c>
      <c r="S28" s="412"/>
      <c r="T28" t="s">
        <v>380</v>
      </c>
    </row>
    <row r="29" spans="1:20" ht="25.9" customHeight="1">
      <c r="A29" s="123" t="s">
        <v>57</v>
      </c>
      <c r="B29" s="125" t="s">
        <v>761</v>
      </c>
      <c r="C29" s="123">
        <v>1250</v>
      </c>
      <c r="D29" s="128">
        <v>43280</v>
      </c>
      <c r="E29" s="125" t="s">
        <v>205</v>
      </c>
      <c r="F29" s="125" t="s">
        <v>283</v>
      </c>
      <c r="G29" s="123">
        <v>12</v>
      </c>
      <c r="H29" s="123">
        <v>12</v>
      </c>
      <c r="I29" s="138">
        <v>68.38</v>
      </c>
      <c r="J29" s="123">
        <f t="shared" si="3"/>
        <v>4</v>
      </c>
      <c r="K29" s="123">
        <v>2</v>
      </c>
      <c r="L29" s="123">
        <v>2</v>
      </c>
      <c r="M29" s="138">
        <f t="shared" si="4"/>
        <v>68.38</v>
      </c>
      <c r="N29" s="138">
        <v>38.04</v>
      </c>
      <c r="O29" s="138">
        <v>30.34</v>
      </c>
      <c r="P29" s="411">
        <f t="shared" si="5"/>
        <v>3856632</v>
      </c>
      <c r="Q29" s="138">
        <f>'26-27'!C10</f>
        <v>3085305.6</v>
      </c>
      <c r="R29" s="138">
        <f>'26-27'!D10</f>
        <v>771326.4</v>
      </c>
      <c r="S29" s="412"/>
      <c r="T29" t="s">
        <v>380</v>
      </c>
    </row>
    <row r="30" spans="1:20" s="110" customFormat="1">
      <c r="A30" s="529" t="s">
        <v>773</v>
      </c>
      <c r="B30" s="529"/>
      <c r="C30" s="126" t="s">
        <v>79</v>
      </c>
      <c r="D30" s="126" t="s">
        <v>79</v>
      </c>
      <c r="E30" s="126" t="s">
        <v>79</v>
      </c>
      <c r="F30" s="126" t="s">
        <v>79</v>
      </c>
      <c r="G30" s="127">
        <f>SUM(G31:G32)</f>
        <v>33</v>
      </c>
      <c r="H30" s="127">
        <f t="shared" ref="H30:R30" si="6">SUM(H31:H32)</f>
        <v>33</v>
      </c>
      <c r="I30" s="137">
        <f t="shared" si="6"/>
        <v>494.75</v>
      </c>
      <c r="J30" s="126">
        <f t="shared" si="3"/>
        <v>16</v>
      </c>
      <c r="K30" s="127">
        <f t="shared" si="6"/>
        <v>11</v>
      </c>
      <c r="L30" s="127">
        <f t="shared" si="6"/>
        <v>5</v>
      </c>
      <c r="M30" s="136">
        <f t="shared" si="4"/>
        <v>494.75</v>
      </c>
      <c r="N30" s="137">
        <f t="shared" si="6"/>
        <v>349.68</v>
      </c>
      <c r="O30" s="137">
        <f t="shared" si="6"/>
        <v>145.07</v>
      </c>
      <c r="P30" s="410">
        <f t="shared" si="5"/>
        <v>27903900</v>
      </c>
      <c r="Q30" s="137">
        <f>SUM(Q31:Q32)</f>
        <v>22323120</v>
      </c>
      <c r="R30" s="137">
        <f t="shared" si="6"/>
        <v>5580780</v>
      </c>
      <c r="S30" s="413"/>
      <c r="T30" s="110" t="s">
        <v>380</v>
      </c>
    </row>
    <row r="31" spans="1:20" ht="25.9" customHeight="1">
      <c r="A31" s="123" t="s">
        <v>60</v>
      </c>
      <c r="B31" s="125" t="s">
        <v>384</v>
      </c>
      <c r="C31" s="123">
        <v>1254</v>
      </c>
      <c r="D31" s="128">
        <v>43280</v>
      </c>
      <c r="E31" s="125" t="s">
        <v>283</v>
      </c>
      <c r="F31" s="125" t="s">
        <v>379</v>
      </c>
      <c r="G31" s="123">
        <v>26</v>
      </c>
      <c r="H31" s="123">
        <v>26</v>
      </c>
      <c r="I31" s="138">
        <v>368.85</v>
      </c>
      <c r="J31" s="123">
        <f t="shared" si="3"/>
        <v>12</v>
      </c>
      <c r="K31" s="123">
        <v>9</v>
      </c>
      <c r="L31" s="123">
        <v>3</v>
      </c>
      <c r="M31" s="138">
        <f t="shared" si="4"/>
        <v>368.85</v>
      </c>
      <c r="N31" s="138">
        <v>289.38</v>
      </c>
      <c r="O31" s="138">
        <v>79.47</v>
      </c>
      <c r="P31" s="411">
        <f t="shared" si="5"/>
        <v>20803140</v>
      </c>
      <c r="Q31" s="138">
        <f>'26-27'!C13</f>
        <v>16642512</v>
      </c>
      <c r="R31" s="138">
        <f>'26-27'!D13</f>
        <v>4160628</v>
      </c>
      <c r="S31" s="412"/>
      <c r="T31" t="s">
        <v>380</v>
      </c>
    </row>
    <row r="32" spans="1:20" ht="25.9" customHeight="1">
      <c r="A32" s="123" t="s">
        <v>62</v>
      </c>
      <c r="B32" s="125" t="s">
        <v>385</v>
      </c>
      <c r="C32" s="123">
        <v>1251</v>
      </c>
      <c r="D32" s="128">
        <v>43280</v>
      </c>
      <c r="E32" s="125" t="s">
        <v>283</v>
      </c>
      <c r="F32" s="125" t="s">
        <v>379</v>
      </c>
      <c r="G32" s="123">
        <v>7</v>
      </c>
      <c r="H32" s="123">
        <v>7</v>
      </c>
      <c r="I32" s="138">
        <v>125.9</v>
      </c>
      <c r="J32" s="123">
        <f t="shared" si="3"/>
        <v>4</v>
      </c>
      <c r="K32" s="123">
        <v>2</v>
      </c>
      <c r="L32" s="123">
        <v>2</v>
      </c>
      <c r="M32" s="138">
        <f t="shared" si="4"/>
        <v>125.89999999999999</v>
      </c>
      <c r="N32" s="138">
        <v>60.3</v>
      </c>
      <c r="O32" s="138">
        <v>65.599999999999994</v>
      </c>
      <c r="P32" s="411">
        <f t="shared" si="5"/>
        <v>7100760</v>
      </c>
      <c r="Q32" s="138">
        <f>'26-27'!C14</f>
        <v>5680608</v>
      </c>
      <c r="R32" s="138">
        <f>'26-27'!D14</f>
        <v>1420152</v>
      </c>
      <c r="S32" s="412"/>
      <c r="T32" t="s">
        <v>380</v>
      </c>
    </row>
    <row r="33" spans="1:19" ht="12" customHeight="1">
      <c r="A33" s="133"/>
      <c r="B33" s="134"/>
      <c r="C33" s="133"/>
      <c r="D33" s="135"/>
      <c r="E33" s="134"/>
      <c r="F33" s="134"/>
      <c r="G33" s="133"/>
      <c r="H33" s="133"/>
      <c r="I33" s="133"/>
      <c r="J33" s="133"/>
      <c r="K33" s="133"/>
      <c r="L33" s="133"/>
      <c r="M33" s="133"/>
      <c r="N33" s="133"/>
      <c r="O33" s="133"/>
      <c r="P33" s="133"/>
      <c r="Q33" s="133"/>
      <c r="R33" s="133"/>
      <c r="S33" s="134"/>
    </row>
    <row r="34" spans="1:19">
      <c r="A34" s="77" t="s">
        <v>386</v>
      </c>
      <c r="S34" t="s">
        <v>765</v>
      </c>
    </row>
  </sheetData>
  <mergeCells count="21">
    <mergeCell ref="I14:I16"/>
    <mergeCell ref="S15:S16"/>
    <mergeCell ref="K15:L15"/>
    <mergeCell ref="A14:A16"/>
    <mergeCell ref="M15:M16"/>
    <mergeCell ref="H14:H16"/>
    <mergeCell ref="J15:J16"/>
    <mergeCell ref="E14:E16"/>
    <mergeCell ref="F14:F16"/>
    <mergeCell ref="G14:G16"/>
    <mergeCell ref="J14:L14"/>
    <mergeCell ref="A30:B30"/>
    <mergeCell ref="A20:B20"/>
    <mergeCell ref="A19:B19"/>
    <mergeCell ref="C14:D15"/>
    <mergeCell ref="B14:B16"/>
    <mergeCell ref="N8:S8"/>
    <mergeCell ref="P15:P16"/>
    <mergeCell ref="P14:R14"/>
    <mergeCell ref="Q15:R15"/>
    <mergeCell ref="M14:O14"/>
  </mergeCells>
  <phoneticPr fontId="63" type="noConversion"/>
  <printOptions horizontalCentered="1"/>
  <pageMargins left="0.51181102362204722" right="0.31496062992125984" top="0.55118110236220474" bottom="0.55118110236220474" header="0.31496062992125984" footer="0.31496062992125984"/>
  <pageSetup paperSize="9" scale="72" fitToHeight="3" orientation="landscape" r:id="rId1"/>
  <headerFooter differentOddEven="1"/>
</worksheet>
</file>

<file path=xl/worksheets/sheet5.xml><?xml version="1.0" encoding="utf-8"?>
<worksheet xmlns="http://schemas.openxmlformats.org/spreadsheetml/2006/main" xmlns:r="http://schemas.openxmlformats.org/officeDocument/2006/relationships">
  <sheetPr>
    <tabColor rgb="FF00B0F0"/>
    <pageSetUpPr fitToPage="1"/>
  </sheetPr>
  <dimension ref="A1:AU36"/>
  <sheetViews>
    <sheetView tabSelected="1" topLeftCell="A12" workbookViewId="0">
      <selection activeCell="AO21" sqref="AO21"/>
    </sheetView>
  </sheetViews>
  <sheetFormatPr defaultColWidth="8.85546875" defaultRowHeight="15"/>
  <cols>
    <col min="1" max="1" width="4" style="142" customWidth="1"/>
    <col min="2" max="2" width="13.7109375" style="142" customWidth="1"/>
    <col min="3" max="3" width="13.28515625" style="142" customWidth="1"/>
    <col min="4" max="4" width="4.5703125" style="142" customWidth="1"/>
    <col min="5" max="13" width="3.140625" style="142" customWidth="1"/>
    <col min="14" max="14" width="3.140625" style="142" hidden="1" customWidth="1"/>
    <col min="15" max="15" width="4.85546875" style="142" customWidth="1"/>
    <col min="16" max="24" width="3.140625" style="142" customWidth="1"/>
    <col min="25" max="25" width="3.140625" style="142" hidden="1" customWidth="1"/>
    <col min="26" max="26" width="4.85546875" style="142" customWidth="1"/>
    <col min="27" max="35" width="3.140625" style="142" customWidth="1"/>
    <col min="36" max="36" width="3.140625" style="142" hidden="1" customWidth="1"/>
    <col min="37" max="37" width="4.85546875" style="142" customWidth="1"/>
    <col min="38" max="45" width="3.140625" style="142" customWidth="1"/>
    <col min="46" max="46" width="8.85546875" style="142"/>
    <col min="47" max="47" width="13.140625" style="142" bestFit="1" customWidth="1"/>
    <col min="48" max="16384" width="8.85546875" style="142"/>
  </cols>
  <sheetData>
    <row r="1" spans="1:45">
      <c r="U1" s="142">
        <v>18</v>
      </c>
    </row>
    <row r="2" spans="1:45">
      <c r="U2" s="356"/>
      <c r="AG2" s="356" t="s">
        <v>293</v>
      </c>
    </row>
    <row r="3" spans="1:45">
      <c r="U3" s="356"/>
      <c r="AG3" s="356" t="s">
        <v>294</v>
      </c>
    </row>
    <row r="4" spans="1:45">
      <c r="U4" s="356"/>
      <c r="AG4" s="356" t="s">
        <v>295</v>
      </c>
    </row>
    <row r="5" spans="1:45">
      <c r="U5" s="356"/>
      <c r="AG5" s="356" t="s">
        <v>296</v>
      </c>
    </row>
    <row r="6" spans="1:45">
      <c r="U6" s="356"/>
      <c r="AG6" s="356"/>
    </row>
    <row r="7" spans="1:45">
      <c r="U7" s="356"/>
      <c r="AG7" s="356" t="s">
        <v>769</v>
      </c>
    </row>
    <row r="8" spans="1:45" ht="67.5" customHeight="1">
      <c r="U8" s="357"/>
      <c r="V8" s="358"/>
      <c r="W8" s="358"/>
      <c r="X8" s="358"/>
      <c r="Y8" s="358"/>
      <c r="Z8" s="358"/>
      <c r="AG8" s="551" t="s">
        <v>297</v>
      </c>
      <c r="AH8" s="552"/>
      <c r="AI8" s="552"/>
      <c r="AJ8" s="552"/>
      <c r="AK8" s="552"/>
      <c r="AL8" s="552"/>
      <c r="AM8" s="552"/>
      <c r="AN8" s="552"/>
      <c r="AO8" s="552"/>
      <c r="AP8" s="552"/>
      <c r="AQ8" s="552"/>
      <c r="AR8" s="552"/>
      <c r="AS8" s="552"/>
    </row>
    <row r="9" spans="1:45">
      <c r="A9" s="359"/>
      <c r="V9" s="359" t="s">
        <v>387</v>
      </c>
    </row>
    <row r="10" spans="1:45">
      <c r="V10" s="360"/>
    </row>
    <row r="12" spans="1:45" ht="32.450000000000003" customHeight="1">
      <c r="A12" s="557" t="s">
        <v>3</v>
      </c>
      <c r="B12" s="553" t="s">
        <v>388</v>
      </c>
      <c r="C12" s="553" t="s">
        <v>389</v>
      </c>
      <c r="D12" s="554" t="s">
        <v>390</v>
      </c>
      <c r="E12" s="554"/>
      <c r="F12" s="554"/>
      <c r="G12" s="554"/>
      <c r="H12" s="554"/>
      <c r="I12" s="554"/>
      <c r="J12" s="554"/>
      <c r="K12" s="554"/>
      <c r="L12" s="554"/>
      <c r="M12" s="554"/>
      <c r="N12" s="554"/>
      <c r="O12" s="554" t="s">
        <v>391</v>
      </c>
      <c r="P12" s="554"/>
      <c r="Q12" s="554"/>
      <c r="R12" s="554"/>
      <c r="S12" s="554"/>
      <c r="T12" s="554"/>
      <c r="U12" s="554"/>
      <c r="V12" s="554"/>
      <c r="W12" s="554"/>
      <c r="X12" s="554"/>
      <c r="Y12" s="554"/>
      <c r="Z12" s="554" t="s">
        <v>392</v>
      </c>
      <c r="AA12" s="554"/>
      <c r="AB12" s="554"/>
      <c r="AC12" s="554"/>
      <c r="AD12" s="554"/>
      <c r="AE12" s="554"/>
      <c r="AF12" s="554"/>
      <c r="AG12" s="554"/>
      <c r="AH12" s="554"/>
      <c r="AI12" s="554"/>
      <c r="AJ12" s="554"/>
      <c r="AK12" s="554" t="s">
        <v>393</v>
      </c>
      <c r="AL12" s="554"/>
      <c r="AM12" s="554"/>
      <c r="AN12" s="554"/>
      <c r="AO12" s="554"/>
      <c r="AP12" s="554"/>
      <c r="AQ12" s="554"/>
      <c r="AR12" s="554"/>
      <c r="AS12" s="554"/>
    </row>
    <row r="13" spans="1:45" ht="21.6" customHeight="1">
      <c r="A13" s="557"/>
      <c r="B13" s="553"/>
      <c r="C13" s="553"/>
      <c r="D13" s="553" t="s">
        <v>394</v>
      </c>
      <c r="E13" s="554" t="s">
        <v>395</v>
      </c>
      <c r="F13" s="554"/>
      <c r="G13" s="554"/>
      <c r="H13" s="554"/>
      <c r="I13" s="554"/>
      <c r="J13" s="554"/>
      <c r="K13" s="554"/>
      <c r="L13" s="554"/>
      <c r="M13" s="554"/>
      <c r="N13" s="554"/>
      <c r="O13" s="553" t="s">
        <v>394</v>
      </c>
      <c r="P13" s="554" t="s">
        <v>395</v>
      </c>
      <c r="Q13" s="555"/>
      <c r="R13" s="555"/>
      <c r="S13" s="555"/>
      <c r="T13" s="555"/>
      <c r="U13" s="555"/>
      <c r="V13" s="555"/>
      <c r="W13" s="555"/>
      <c r="X13" s="555"/>
      <c r="Y13" s="555"/>
      <c r="Z13" s="553" t="s">
        <v>394</v>
      </c>
      <c r="AA13" s="554" t="s">
        <v>395</v>
      </c>
      <c r="AB13" s="555"/>
      <c r="AC13" s="555"/>
      <c r="AD13" s="555"/>
      <c r="AE13" s="555"/>
      <c r="AF13" s="555"/>
      <c r="AG13" s="555"/>
      <c r="AH13" s="555"/>
      <c r="AI13" s="555"/>
      <c r="AJ13" s="555"/>
      <c r="AK13" s="553" t="s">
        <v>394</v>
      </c>
      <c r="AL13" s="554" t="s">
        <v>395</v>
      </c>
      <c r="AM13" s="555"/>
      <c r="AN13" s="555"/>
      <c r="AO13" s="555"/>
      <c r="AP13" s="555"/>
      <c r="AQ13" s="555"/>
      <c r="AR13" s="555"/>
      <c r="AS13" s="555"/>
    </row>
    <row r="14" spans="1:45" ht="63" customHeight="1">
      <c r="A14" s="557"/>
      <c r="B14" s="553"/>
      <c r="C14" s="553"/>
      <c r="D14" s="553"/>
      <c r="E14" s="143">
        <v>2019</v>
      </c>
      <c r="F14" s="143">
        <v>2020</v>
      </c>
      <c r="G14" s="143">
        <v>2021</v>
      </c>
      <c r="H14" s="143">
        <v>2022</v>
      </c>
      <c r="I14" s="143">
        <v>2023</v>
      </c>
      <c r="J14" s="143">
        <v>2024</v>
      </c>
      <c r="K14" s="143">
        <v>2025</v>
      </c>
      <c r="L14" s="143">
        <v>2026</v>
      </c>
      <c r="M14" s="143">
        <v>2027</v>
      </c>
      <c r="N14" s="143" t="s">
        <v>396</v>
      </c>
      <c r="O14" s="553"/>
      <c r="P14" s="143">
        <v>2019</v>
      </c>
      <c r="Q14" s="143">
        <v>2020</v>
      </c>
      <c r="R14" s="143">
        <v>2021</v>
      </c>
      <c r="S14" s="143">
        <v>2022</v>
      </c>
      <c r="T14" s="143" t="s">
        <v>397</v>
      </c>
      <c r="U14" s="143">
        <v>2024</v>
      </c>
      <c r="V14" s="143" t="s">
        <v>398</v>
      </c>
      <c r="W14" s="143">
        <v>2026</v>
      </c>
      <c r="X14" s="143" t="s">
        <v>399</v>
      </c>
      <c r="Y14" s="143">
        <v>2028</v>
      </c>
      <c r="Z14" s="553"/>
      <c r="AA14" s="143">
        <v>2019</v>
      </c>
      <c r="AB14" s="143">
        <v>2020</v>
      </c>
      <c r="AC14" s="143">
        <v>2021</v>
      </c>
      <c r="AD14" s="143" t="s">
        <v>400</v>
      </c>
      <c r="AE14" s="143" t="s">
        <v>397</v>
      </c>
      <c r="AF14" s="143">
        <v>2024</v>
      </c>
      <c r="AG14" s="143">
        <v>2025</v>
      </c>
      <c r="AH14" s="143">
        <v>2026</v>
      </c>
      <c r="AI14" s="143">
        <v>2027</v>
      </c>
      <c r="AJ14" s="143">
        <v>2028</v>
      </c>
      <c r="AK14" s="553"/>
      <c r="AL14" s="143">
        <v>2019</v>
      </c>
      <c r="AM14" s="143">
        <v>2020</v>
      </c>
      <c r="AN14" s="143">
        <v>2021</v>
      </c>
      <c r="AO14" s="143">
        <v>2022</v>
      </c>
      <c r="AP14" s="143">
        <v>2023</v>
      </c>
      <c r="AQ14" s="143">
        <v>2024</v>
      </c>
      <c r="AR14" s="143">
        <v>2025</v>
      </c>
      <c r="AS14" s="143">
        <v>2026</v>
      </c>
    </row>
    <row r="15" spans="1:45">
      <c r="A15" s="140">
        <v>1</v>
      </c>
      <c r="B15" s="140">
        <f>A15+1</f>
        <v>2</v>
      </c>
      <c r="C15" s="140">
        <f t="shared" ref="C15:AS15" si="0">B15+1</f>
        <v>3</v>
      </c>
      <c r="D15" s="140">
        <f t="shared" si="0"/>
        <v>4</v>
      </c>
      <c r="E15" s="140">
        <f t="shared" si="0"/>
        <v>5</v>
      </c>
      <c r="F15" s="140">
        <f t="shared" si="0"/>
        <v>6</v>
      </c>
      <c r="G15" s="140">
        <f t="shared" si="0"/>
        <v>7</v>
      </c>
      <c r="H15" s="140">
        <f t="shared" si="0"/>
        <v>8</v>
      </c>
      <c r="I15" s="140">
        <f t="shared" si="0"/>
        <v>9</v>
      </c>
      <c r="J15" s="140">
        <f t="shared" si="0"/>
        <v>10</v>
      </c>
      <c r="K15" s="140">
        <f t="shared" si="0"/>
        <v>11</v>
      </c>
      <c r="L15" s="140">
        <f t="shared" si="0"/>
        <v>12</v>
      </c>
      <c r="M15" s="140">
        <f t="shared" si="0"/>
        <v>13</v>
      </c>
      <c r="N15" s="140">
        <f t="shared" si="0"/>
        <v>14</v>
      </c>
      <c r="O15" s="140">
        <f t="shared" si="0"/>
        <v>15</v>
      </c>
      <c r="P15" s="140">
        <f t="shared" si="0"/>
        <v>16</v>
      </c>
      <c r="Q15" s="140">
        <f t="shared" si="0"/>
        <v>17</v>
      </c>
      <c r="R15" s="140">
        <f t="shared" si="0"/>
        <v>18</v>
      </c>
      <c r="S15" s="140">
        <f t="shared" si="0"/>
        <v>19</v>
      </c>
      <c r="T15" s="140">
        <f t="shared" si="0"/>
        <v>20</v>
      </c>
      <c r="U15" s="140">
        <f t="shared" si="0"/>
        <v>21</v>
      </c>
      <c r="V15" s="140">
        <f t="shared" si="0"/>
        <v>22</v>
      </c>
      <c r="W15" s="140">
        <f t="shared" si="0"/>
        <v>23</v>
      </c>
      <c r="X15" s="140">
        <f t="shared" si="0"/>
        <v>24</v>
      </c>
      <c r="Y15" s="140">
        <f t="shared" si="0"/>
        <v>25</v>
      </c>
      <c r="Z15" s="140">
        <f t="shared" si="0"/>
        <v>26</v>
      </c>
      <c r="AA15" s="140">
        <f t="shared" si="0"/>
        <v>27</v>
      </c>
      <c r="AB15" s="140">
        <f t="shared" si="0"/>
        <v>28</v>
      </c>
      <c r="AC15" s="140">
        <f t="shared" si="0"/>
        <v>29</v>
      </c>
      <c r="AD15" s="140">
        <f t="shared" si="0"/>
        <v>30</v>
      </c>
      <c r="AE15" s="140">
        <f t="shared" si="0"/>
        <v>31</v>
      </c>
      <c r="AF15" s="140">
        <f t="shared" si="0"/>
        <v>32</v>
      </c>
      <c r="AG15" s="140">
        <f t="shared" si="0"/>
        <v>33</v>
      </c>
      <c r="AH15" s="140">
        <f t="shared" si="0"/>
        <v>34</v>
      </c>
      <c r="AI15" s="140">
        <f t="shared" si="0"/>
        <v>35</v>
      </c>
      <c r="AJ15" s="140">
        <f t="shared" si="0"/>
        <v>36</v>
      </c>
      <c r="AK15" s="140">
        <f t="shared" si="0"/>
        <v>37</v>
      </c>
      <c r="AL15" s="140">
        <f t="shared" si="0"/>
        <v>38</v>
      </c>
      <c r="AM15" s="140">
        <f t="shared" si="0"/>
        <v>39</v>
      </c>
      <c r="AN15" s="140">
        <f t="shared" si="0"/>
        <v>40</v>
      </c>
      <c r="AO15" s="140">
        <f t="shared" si="0"/>
        <v>41</v>
      </c>
      <c r="AP15" s="140">
        <f t="shared" si="0"/>
        <v>42</v>
      </c>
      <c r="AQ15" s="140">
        <f t="shared" si="0"/>
        <v>43</v>
      </c>
      <c r="AR15" s="140">
        <f t="shared" si="0"/>
        <v>44</v>
      </c>
      <c r="AS15" s="140">
        <f t="shared" si="0"/>
        <v>45</v>
      </c>
    </row>
    <row r="16" spans="1:45" ht="15.75">
      <c r="A16" s="556" t="s">
        <v>762</v>
      </c>
      <c r="B16" s="556"/>
      <c r="C16" s="556"/>
      <c r="D16" s="556"/>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row>
    <row r="17" spans="1:47" s="361" customFormat="1" ht="85.5" customHeight="1">
      <c r="A17" s="439" t="s">
        <v>421</v>
      </c>
      <c r="B17" s="440" t="s">
        <v>401</v>
      </c>
      <c r="C17" s="450" t="s">
        <v>774</v>
      </c>
      <c r="D17" s="447">
        <f>SUM(E17:N17)</f>
        <v>5580.78</v>
      </c>
      <c r="E17" s="441">
        <v>0</v>
      </c>
      <c r="F17" s="441">
        <v>0</v>
      </c>
      <c r="G17" s="441">
        <v>0</v>
      </c>
      <c r="H17" s="441">
        <v>0</v>
      </c>
      <c r="I17" s="441">
        <v>0</v>
      </c>
      <c r="J17" s="441">
        <v>0</v>
      </c>
      <c r="K17" s="441">
        <f>'приложение 5'!R30/1000</f>
        <v>5580.78</v>
      </c>
      <c r="L17" s="441">
        <v>0</v>
      </c>
      <c r="M17" s="441">
        <v>0</v>
      </c>
      <c r="N17" s="441">
        <v>0</v>
      </c>
      <c r="O17" s="447">
        <f>SUM(P17:Y17)</f>
        <v>60702</v>
      </c>
      <c r="P17" s="441">
        <v>0</v>
      </c>
      <c r="Q17" s="441">
        <v>0</v>
      </c>
      <c r="R17" s="441">
        <v>0</v>
      </c>
      <c r="S17" s="441">
        <v>0</v>
      </c>
      <c r="T17" s="441">
        <v>18038.0736</v>
      </c>
      <c r="U17" s="441">
        <v>20340.806400000001</v>
      </c>
      <c r="V17" s="441">
        <f>'приложение 5'!Q30/1000</f>
        <v>22323.119999999999</v>
      </c>
      <c r="W17" s="441">
        <v>0</v>
      </c>
      <c r="X17" s="441">
        <v>0</v>
      </c>
      <c r="Y17" s="441">
        <v>0</v>
      </c>
      <c r="Z17" s="447">
        <f>SUM(AA17:AI17)</f>
        <v>0</v>
      </c>
      <c r="AA17" s="441">
        <v>0</v>
      </c>
      <c r="AB17" s="441">
        <v>0</v>
      </c>
      <c r="AC17" s="441">
        <v>0</v>
      </c>
      <c r="AD17" s="441">
        <v>0</v>
      </c>
      <c r="AE17" s="441">
        <v>0</v>
      </c>
      <c r="AF17" s="441">
        <v>0</v>
      </c>
      <c r="AG17" s="441">
        <v>0</v>
      </c>
      <c r="AH17" s="441">
        <v>0</v>
      </c>
      <c r="AI17" s="441">
        <v>0</v>
      </c>
      <c r="AJ17" s="441">
        <v>0</v>
      </c>
      <c r="AK17" s="447">
        <f>SUM(AL17:AS17)</f>
        <v>66282.78</v>
      </c>
      <c r="AL17" s="441">
        <v>0</v>
      </c>
      <c r="AM17" s="441">
        <v>0</v>
      </c>
      <c r="AN17" s="441">
        <v>0</v>
      </c>
      <c r="AO17" s="441">
        <v>0</v>
      </c>
      <c r="AP17" s="441">
        <f>SUM(I17,T17,AE17)</f>
        <v>18038.0736</v>
      </c>
      <c r="AQ17" s="441">
        <f>SUM(J17,U17,AF17)</f>
        <v>20340.806400000001</v>
      </c>
      <c r="AR17" s="441">
        <f>(K17+V17+AG17)</f>
        <v>27903.899999999998</v>
      </c>
      <c r="AS17" s="441">
        <v>0</v>
      </c>
    </row>
    <row r="18" spans="1:47" s="361" customFormat="1" ht="88.5" customHeight="1">
      <c r="A18" s="440"/>
      <c r="B18" s="442" t="s">
        <v>402</v>
      </c>
      <c r="C18" s="443"/>
      <c r="D18" s="444">
        <f>D17</f>
        <v>5580.78</v>
      </c>
      <c r="E18" s="444">
        <v>0</v>
      </c>
      <c r="F18" s="444">
        <v>0</v>
      </c>
      <c r="G18" s="444">
        <f>G17</f>
        <v>0</v>
      </c>
      <c r="H18" s="444">
        <f>H17</f>
        <v>0</v>
      </c>
      <c r="I18" s="444">
        <f>I17</f>
        <v>0</v>
      </c>
      <c r="J18" s="444">
        <f>J17</f>
        <v>0</v>
      </c>
      <c r="K18" s="444">
        <f>K17</f>
        <v>5580.78</v>
      </c>
      <c r="L18" s="444">
        <v>0</v>
      </c>
      <c r="M18" s="444">
        <f>M17</f>
        <v>0</v>
      </c>
      <c r="N18" s="444">
        <v>0</v>
      </c>
      <c r="O18" s="444">
        <f>O17</f>
        <v>60702</v>
      </c>
      <c r="P18" s="444">
        <v>0</v>
      </c>
      <c r="Q18" s="444">
        <v>0</v>
      </c>
      <c r="R18" s="444">
        <f>R17</f>
        <v>0</v>
      </c>
      <c r="S18" s="444">
        <f>S17</f>
        <v>0</v>
      </c>
      <c r="T18" s="444">
        <f>T17</f>
        <v>18038.0736</v>
      </c>
      <c r="U18" s="444">
        <f>U17</f>
        <v>20340.806400000001</v>
      </c>
      <c r="V18" s="444">
        <f>V17</f>
        <v>22323.119999999999</v>
      </c>
      <c r="W18" s="444">
        <v>0</v>
      </c>
      <c r="X18" s="444">
        <f>X17</f>
        <v>0</v>
      </c>
      <c r="Y18" s="444">
        <v>0</v>
      </c>
      <c r="Z18" s="444">
        <f>Z17</f>
        <v>0</v>
      </c>
      <c r="AA18" s="444">
        <v>0</v>
      </c>
      <c r="AB18" s="444">
        <v>0</v>
      </c>
      <c r="AC18" s="444">
        <f>AC17</f>
        <v>0</v>
      </c>
      <c r="AD18" s="444">
        <f>AD17</f>
        <v>0</v>
      </c>
      <c r="AE18" s="444">
        <v>0</v>
      </c>
      <c r="AF18" s="444">
        <v>0</v>
      </c>
      <c r="AG18" s="444">
        <v>0</v>
      </c>
      <c r="AH18" s="444">
        <v>0</v>
      </c>
      <c r="AI18" s="444">
        <v>0</v>
      </c>
      <c r="AJ18" s="444">
        <v>0</v>
      </c>
      <c r="AK18" s="444">
        <f>AK17</f>
        <v>66282.78</v>
      </c>
      <c r="AL18" s="444">
        <v>0</v>
      </c>
      <c r="AM18" s="444">
        <v>0</v>
      </c>
      <c r="AN18" s="444">
        <f>AN17</f>
        <v>0</v>
      </c>
      <c r="AO18" s="444">
        <f>AO17</f>
        <v>0</v>
      </c>
      <c r="AP18" s="444">
        <f>AP17</f>
        <v>18038.0736</v>
      </c>
      <c r="AQ18" s="444">
        <f>AQ17</f>
        <v>20340.806400000001</v>
      </c>
      <c r="AR18" s="444">
        <f>AR17</f>
        <v>27903.899999999998</v>
      </c>
      <c r="AS18" s="444">
        <v>0</v>
      </c>
    </row>
    <row r="19" spans="1:47" ht="51" customHeight="1">
      <c r="A19" s="550" t="s">
        <v>777</v>
      </c>
      <c r="B19" s="550"/>
      <c r="C19" s="550"/>
      <c r="D19" s="550"/>
      <c r="E19" s="550"/>
      <c r="F19" s="550"/>
      <c r="G19" s="550"/>
      <c r="H19" s="550"/>
      <c r="I19" s="550"/>
      <c r="J19" s="550"/>
      <c r="K19" s="550"/>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0"/>
      <c r="AK19" s="550"/>
      <c r="AL19" s="550"/>
      <c r="AM19" s="550"/>
      <c r="AN19" s="550"/>
      <c r="AO19" s="550"/>
      <c r="AP19" s="550"/>
      <c r="AQ19" s="550"/>
      <c r="AR19" s="550"/>
      <c r="AS19" s="550"/>
    </row>
    <row r="20" spans="1:47" s="361" customFormat="1" ht="87" customHeight="1">
      <c r="A20" s="546" t="s">
        <v>422</v>
      </c>
      <c r="B20" s="448" t="s">
        <v>775</v>
      </c>
      <c r="C20" s="544" t="s">
        <v>774</v>
      </c>
      <c r="D20" s="447">
        <f>SUM(E20:N20)</f>
        <v>28205.940850000003</v>
      </c>
      <c r="E20" s="441">
        <v>0</v>
      </c>
      <c r="F20" s="441">
        <f>'приложение 4'!R20/1000</f>
        <v>6504.0012300000008</v>
      </c>
      <c r="G20" s="441">
        <f>'приложение 4'!R27/1000</f>
        <v>7270.5869199999997</v>
      </c>
      <c r="H20" s="441">
        <v>10741.37796</v>
      </c>
      <c r="I20" s="441">
        <v>3689.9747400000001</v>
      </c>
      <c r="J20" s="441">
        <v>0</v>
      </c>
      <c r="K20" s="441">
        <v>0</v>
      </c>
      <c r="L20" s="441">
        <v>0</v>
      </c>
      <c r="M20" s="441">
        <v>0</v>
      </c>
      <c r="N20" s="441">
        <v>0</v>
      </c>
      <c r="O20" s="447">
        <f>SUM(P20:Y20)</f>
        <v>156764.96347962276</v>
      </c>
      <c r="P20" s="441">
        <v>0</v>
      </c>
      <c r="Q20" s="441">
        <f>'приложение 4'!Q20/1000</f>
        <v>26016.004940000003</v>
      </c>
      <c r="R20" s="441">
        <f>'приложение 4'!Q27/1000</f>
        <v>29082.347659622767</v>
      </c>
      <c r="S20" s="441">
        <v>57454.499380000001</v>
      </c>
      <c r="T20" s="441">
        <v>44212.111499999999</v>
      </c>
      <c r="U20" s="441">
        <v>0</v>
      </c>
      <c r="V20" s="441">
        <v>0</v>
      </c>
      <c r="W20" s="441">
        <v>0</v>
      </c>
      <c r="X20" s="441">
        <v>0</v>
      </c>
      <c r="Y20" s="441">
        <v>0</v>
      </c>
      <c r="Z20" s="447">
        <f>SUM(AA20:AJ20)</f>
        <v>197207.03171000001</v>
      </c>
      <c r="AA20" s="441">
        <v>0</v>
      </c>
      <c r="AB20" s="441">
        <f>'приложение 4'!P20/1000</f>
        <v>20616.3024</v>
      </c>
      <c r="AC20" s="441">
        <f>'приложение 4'!P27/1000</f>
        <v>60687.777419999999</v>
      </c>
      <c r="AD20" s="441">
        <v>115902.95189</v>
      </c>
      <c r="AE20" s="441">
        <v>0</v>
      </c>
      <c r="AF20" s="441">
        <v>0</v>
      </c>
      <c r="AG20" s="441">
        <v>0</v>
      </c>
      <c r="AH20" s="441">
        <v>0</v>
      </c>
      <c r="AI20" s="441">
        <v>0</v>
      </c>
      <c r="AJ20" s="441">
        <v>0</v>
      </c>
      <c r="AK20" s="447">
        <f>SUM(AL20:AS20)</f>
        <v>382177.93603962276</v>
      </c>
      <c r="AL20" s="441">
        <v>0</v>
      </c>
      <c r="AM20" s="441">
        <f>F20+Q20+AB20</f>
        <v>53136.308570000008</v>
      </c>
      <c r="AN20" s="441">
        <f>G20+R20+AC20</f>
        <v>97040.711999622756</v>
      </c>
      <c r="AO20" s="441">
        <f>H20+S20+AD20</f>
        <v>184098.82923</v>
      </c>
      <c r="AP20" s="441">
        <f>I20+T20+AE20</f>
        <v>47902.086239999997</v>
      </c>
      <c r="AQ20" s="441">
        <v>0</v>
      </c>
      <c r="AR20" s="441">
        <v>0</v>
      </c>
      <c r="AS20" s="441">
        <v>0</v>
      </c>
      <c r="AU20" s="449"/>
    </row>
    <row r="21" spans="1:47" s="361" customFormat="1" ht="61.5" customHeight="1">
      <c r="A21" s="547"/>
      <c r="B21" s="448" t="s">
        <v>785</v>
      </c>
      <c r="C21" s="545"/>
      <c r="D21" s="447">
        <f>SUM(E21:N21)</f>
        <v>3010.9801699999998</v>
      </c>
      <c r="E21" s="441">
        <v>0</v>
      </c>
      <c r="F21" s="441">
        <v>131.21202</v>
      </c>
      <c r="G21" s="441">
        <v>2405.3304600000001</v>
      </c>
      <c r="H21" s="659">
        <v>474.43768999999998</v>
      </c>
      <c r="I21" s="441">
        <v>0</v>
      </c>
      <c r="J21" s="441">
        <v>0</v>
      </c>
      <c r="K21" s="441">
        <v>0</v>
      </c>
      <c r="L21" s="441">
        <v>0</v>
      </c>
      <c r="M21" s="441">
        <v>0</v>
      </c>
      <c r="N21" s="441"/>
      <c r="O21" s="447">
        <f>SUM(P21:Y21)</f>
        <v>26532.90885</v>
      </c>
      <c r="P21" s="441">
        <v>0</v>
      </c>
      <c r="Q21" s="441">
        <v>524.84875999999997</v>
      </c>
      <c r="R21" s="441">
        <v>9621.3218400000005</v>
      </c>
      <c r="S21" s="659">
        <v>16386.738249999999</v>
      </c>
      <c r="T21" s="441">
        <v>0</v>
      </c>
      <c r="U21" s="441">
        <v>0</v>
      </c>
      <c r="V21" s="441">
        <v>0</v>
      </c>
      <c r="W21" s="441">
        <v>0</v>
      </c>
      <c r="X21" s="441">
        <v>0</v>
      </c>
      <c r="Y21" s="441"/>
      <c r="Z21" s="447">
        <f>SUM(AA21:AJ21)</f>
        <v>70954.479479999995</v>
      </c>
      <c r="AA21" s="441">
        <v>0</v>
      </c>
      <c r="AB21" s="441">
        <v>1063.85322</v>
      </c>
      <c r="AC21" s="441">
        <v>20077.3557</v>
      </c>
      <c r="AD21" s="659">
        <v>49813.270559999997</v>
      </c>
      <c r="AE21" s="441">
        <v>0</v>
      </c>
      <c r="AF21" s="441">
        <v>0</v>
      </c>
      <c r="AG21" s="441">
        <v>0</v>
      </c>
      <c r="AH21" s="441">
        <v>0</v>
      </c>
      <c r="AI21" s="441">
        <v>0</v>
      </c>
      <c r="AJ21" s="441"/>
      <c r="AK21" s="447">
        <f>SUM(AL21:AS21)</f>
        <v>100498.36849999998</v>
      </c>
      <c r="AL21" s="441">
        <v>0</v>
      </c>
      <c r="AM21" s="441">
        <f>F21+Q21+AB21</f>
        <v>1719.914</v>
      </c>
      <c r="AN21" s="441">
        <f>G21+R21+AC21</f>
        <v>32104.008000000002</v>
      </c>
      <c r="AO21" s="659">
        <f>SUM(H21,S21,AD21)</f>
        <v>66674.446499999991</v>
      </c>
      <c r="AP21" s="441">
        <v>0</v>
      </c>
      <c r="AQ21" s="441">
        <v>0</v>
      </c>
      <c r="AR21" s="441">
        <v>0</v>
      </c>
      <c r="AS21" s="441">
        <v>0</v>
      </c>
      <c r="AU21" s="449"/>
    </row>
    <row r="22" spans="1:47" s="361" customFormat="1" ht="87" customHeight="1">
      <c r="A22" s="440"/>
      <c r="B22" s="442" t="s">
        <v>402</v>
      </c>
      <c r="C22" s="442"/>
      <c r="D22" s="447">
        <f>D20</f>
        <v>28205.940850000003</v>
      </c>
      <c r="E22" s="447">
        <v>0</v>
      </c>
      <c r="F22" s="447">
        <f>F20</f>
        <v>6504.0012300000008</v>
      </c>
      <c r="G22" s="447">
        <f>G20</f>
        <v>7270.5869199999997</v>
      </c>
      <c r="H22" s="447">
        <f>H20</f>
        <v>10741.37796</v>
      </c>
      <c r="I22" s="447">
        <f>I20</f>
        <v>3689.9747400000001</v>
      </c>
      <c r="J22" s="447">
        <v>0</v>
      </c>
      <c r="K22" s="447">
        <v>0</v>
      </c>
      <c r="L22" s="447">
        <v>0</v>
      </c>
      <c r="M22" s="447">
        <v>0</v>
      </c>
      <c r="N22" s="447">
        <v>0</v>
      </c>
      <c r="O22" s="447">
        <f>O20</f>
        <v>156764.96347962276</v>
      </c>
      <c r="P22" s="447">
        <v>0</v>
      </c>
      <c r="Q22" s="447">
        <f>Q20</f>
        <v>26016.004940000003</v>
      </c>
      <c r="R22" s="447">
        <f>R20</f>
        <v>29082.347659622767</v>
      </c>
      <c r="S22" s="447">
        <f>S20</f>
        <v>57454.499380000001</v>
      </c>
      <c r="T22" s="447">
        <f>T20</f>
        <v>44212.111499999999</v>
      </c>
      <c r="U22" s="447">
        <v>0</v>
      </c>
      <c r="V22" s="447">
        <v>0</v>
      </c>
      <c r="W22" s="447">
        <v>0</v>
      </c>
      <c r="X22" s="447">
        <v>0</v>
      </c>
      <c r="Y22" s="447">
        <v>0</v>
      </c>
      <c r="Z22" s="447">
        <f>Z20</f>
        <v>197207.03171000001</v>
      </c>
      <c r="AA22" s="447">
        <v>0</v>
      </c>
      <c r="AB22" s="447">
        <f>AB20</f>
        <v>20616.3024</v>
      </c>
      <c r="AC22" s="447">
        <f>AC20</f>
        <v>60687.777419999999</v>
      </c>
      <c r="AD22" s="447">
        <f>AD20</f>
        <v>115902.95189</v>
      </c>
      <c r="AE22" s="447">
        <v>0</v>
      </c>
      <c r="AF22" s="447">
        <v>0</v>
      </c>
      <c r="AG22" s="447">
        <v>0</v>
      </c>
      <c r="AH22" s="447">
        <v>0</v>
      </c>
      <c r="AI22" s="447">
        <v>0</v>
      </c>
      <c r="AJ22" s="447">
        <v>0</v>
      </c>
      <c r="AK22" s="447">
        <f>AK20</f>
        <v>382177.93603962276</v>
      </c>
      <c r="AL22" s="447">
        <v>0</v>
      </c>
      <c r="AM22" s="447">
        <f>AM20</f>
        <v>53136.308570000008</v>
      </c>
      <c r="AN22" s="447">
        <f>AN20</f>
        <v>97040.711999622756</v>
      </c>
      <c r="AO22" s="447">
        <f>AO20</f>
        <v>184098.82923</v>
      </c>
      <c r="AP22" s="447">
        <f>AP20</f>
        <v>47902.086239999997</v>
      </c>
      <c r="AQ22" s="447">
        <v>0</v>
      </c>
      <c r="AR22" s="447">
        <v>0</v>
      </c>
      <c r="AS22" s="447">
        <v>0</v>
      </c>
    </row>
    <row r="23" spans="1:47" ht="15.75">
      <c r="A23" s="550" t="s">
        <v>778</v>
      </c>
      <c r="B23" s="550"/>
      <c r="C23" s="550"/>
      <c r="D23" s="550"/>
      <c r="E23" s="550"/>
      <c r="F23" s="550"/>
      <c r="G23" s="550"/>
      <c r="H23" s="550"/>
      <c r="I23" s="550"/>
      <c r="J23" s="550"/>
      <c r="K23" s="550"/>
      <c r="L23" s="550"/>
      <c r="M23" s="550"/>
      <c r="N23" s="550"/>
      <c r="O23" s="550"/>
      <c r="P23" s="550"/>
      <c r="Q23" s="550"/>
      <c r="R23" s="550"/>
      <c r="S23" s="550"/>
      <c r="T23" s="550"/>
      <c r="U23" s="550"/>
      <c r="V23" s="550"/>
      <c r="W23" s="550"/>
      <c r="X23" s="550"/>
      <c r="Y23" s="550"/>
      <c r="Z23" s="550"/>
      <c r="AA23" s="550"/>
      <c r="AB23" s="550"/>
      <c r="AC23" s="550"/>
      <c r="AD23" s="550"/>
      <c r="AE23" s="550"/>
      <c r="AF23" s="550"/>
      <c r="AG23" s="550"/>
      <c r="AH23" s="550"/>
      <c r="AI23" s="550"/>
      <c r="AJ23" s="550"/>
      <c r="AK23" s="550"/>
      <c r="AL23" s="550"/>
      <c r="AM23" s="550"/>
      <c r="AN23" s="550"/>
      <c r="AO23" s="550"/>
      <c r="AP23" s="550"/>
      <c r="AQ23" s="550"/>
      <c r="AR23" s="550"/>
      <c r="AS23" s="550"/>
    </row>
    <row r="24" spans="1:47" s="361" customFormat="1" ht="83.45" customHeight="1">
      <c r="A24" s="440" t="s">
        <v>423</v>
      </c>
      <c r="B24" s="440" t="s">
        <v>780</v>
      </c>
      <c r="C24" s="450" t="s">
        <v>774</v>
      </c>
      <c r="D24" s="447">
        <f>SUM(E24:N24)</f>
        <v>11558.16697</v>
      </c>
      <c r="E24" s="441">
        <v>0</v>
      </c>
      <c r="F24" s="445">
        <f>'приложение 4'!T24/1000</f>
        <v>465</v>
      </c>
      <c r="G24" s="445">
        <v>0</v>
      </c>
      <c r="H24" s="445">
        <v>661.5</v>
      </c>
      <c r="I24" s="473">
        <v>5000</v>
      </c>
      <c r="J24" s="445">
        <v>0</v>
      </c>
      <c r="K24" s="445">
        <f>('приложение 4'!T36-'приложение 4'!T47-'приложение 4'!T49)/1000</f>
        <v>4883.6681200000003</v>
      </c>
      <c r="L24" s="445">
        <f>'приложение 5'!S20/1000</f>
        <v>547.99884999999995</v>
      </c>
      <c r="M24" s="441">
        <v>0</v>
      </c>
      <c r="N24" s="441">
        <v>0</v>
      </c>
      <c r="O24" s="447">
        <f>SUM(P24:X24)</f>
        <v>20000</v>
      </c>
      <c r="P24" s="441">
        <v>0</v>
      </c>
      <c r="Q24" s="441">
        <v>0</v>
      </c>
      <c r="R24" s="441">
        <v>0</v>
      </c>
      <c r="S24" s="441">
        <v>0</v>
      </c>
      <c r="T24" s="441">
        <v>20000</v>
      </c>
      <c r="U24" s="441">
        <v>0</v>
      </c>
      <c r="V24" s="441">
        <v>0</v>
      </c>
      <c r="W24" s="441">
        <v>0</v>
      </c>
      <c r="X24" s="441">
        <v>0</v>
      </c>
      <c r="Y24" s="441">
        <v>0</v>
      </c>
      <c r="Z24" s="447">
        <v>0</v>
      </c>
      <c r="AA24" s="441">
        <v>0</v>
      </c>
      <c r="AB24" s="441">
        <v>0</v>
      </c>
      <c r="AC24" s="441">
        <v>0</v>
      </c>
      <c r="AD24" s="441">
        <v>0</v>
      </c>
      <c r="AE24" s="441">
        <v>0</v>
      </c>
      <c r="AF24" s="441">
        <v>0</v>
      </c>
      <c r="AG24" s="441">
        <v>0</v>
      </c>
      <c r="AH24" s="441">
        <v>0</v>
      </c>
      <c r="AI24" s="441">
        <v>0</v>
      </c>
      <c r="AJ24" s="441">
        <v>0</v>
      </c>
      <c r="AK24" s="447">
        <f>SUM(AL24:AS24)</f>
        <v>31558.166970000002</v>
      </c>
      <c r="AL24" s="441">
        <v>0</v>
      </c>
      <c r="AM24" s="445">
        <f t="shared" ref="AM24:AS24" si="1">F24+Q24+AB24</f>
        <v>465</v>
      </c>
      <c r="AN24" s="445">
        <f t="shared" si="1"/>
        <v>0</v>
      </c>
      <c r="AO24" s="445">
        <f t="shared" si="1"/>
        <v>661.5</v>
      </c>
      <c r="AP24" s="445">
        <f>I24+T24+AE24</f>
        <v>25000</v>
      </c>
      <c r="AQ24" s="445">
        <f t="shared" si="1"/>
        <v>0</v>
      </c>
      <c r="AR24" s="445">
        <f t="shared" si="1"/>
        <v>4883.6681200000003</v>
      </c>
      <c r="AS24" s="445">
        <f t="shared" si="1"/>
        <v>547.99884999999995</v>
      </c>
    </row>
    <row r="25" spans="1:47" s="361" customFormat="1" ht="87" customHeight="1">
      <c r="A25" s="440" t="s">
        <v>782</v>
      </c>
      <c r="B25" s="440" t="s">
        <v>786</v>
      </c>
      <c r="C25" s="450"/>
      <c r="D25" s="447">
        <f>SUM(E25:M25)</f>
        <v>195</v>
      </c>
      <c r="E25" s="441"/>
      <c r="F25" s="445"/>
      <c r="G25" s="445"/>
      <c r="H25" s="445">
        <v>195</v>
      </c>
      <c r="I25" s="446"/>
      <c r="J25" s="445"/>
      <c r="K25" s="445"/>
      <c r="L25" s="445"/>
      <c r="M25" s="441"/>
      <c r="N25" s="441"/>
      <c r="O25" s="447"/>
      <c r="P25" s="441"/>
      <c r="Q25" s="441"/>
      <c r="R25" s="441"/>
      <c r="S25" s="441"/>
      <c r="T25" s="441"/>
      <c r="U25" s="441"/>
      <c r="V25" s="441"/>
      <c r="W25" s="441"/>
      <c r="X25" s="441"/>
      <c r="Y25" s="441"/>
      <c r="Z25" s="447"/>
      <c r="AA25" s="441"/>
      <c r="AB25" s="441"/>
      <c r="AC25" s="441"/>
      <c r="AD25" s="441"/>
      <c r="AE25" s="441"/>
      <c r="AF25" s="441"/>
      <c r="AG25" s="441"/>
      <c r="AH25" s="441"/>
      <c r="AI25" s="441"/>
      <c r="AJ25" s="441"/>
      <c r="AK25" s="447">
        <f>SUM(AL25:AS25)</f>
        <v>195</v>
      </c>
      <c r="AL25" s="441"/>
      <c r="AM25" s="445"/>
      <c r="AN25" s="445"/>
      <c r="AO25" s="445">
        <v>195</v>
      </c>
      <c r="AP25" s="445"/>
      <c r="AQ25" s="445"/>
      <c r="AR25" s="445"/>
      <c r="AS25" s="445"/>
    </row>
    <row r="26" spans="1:47" s="361" customFormat="1" ht="87" customHeight="1">
      <c r="A26" s="440" t="s">
        <v>783</v>
      </c>
      <c r="B26" s="440" t="s">
        <v>787</v>
      </c>
      <c r="C26" s="450"/>
      <c r="D26" s="447">
        <f>SUM(E26:M26)</f>
        <v>31.5</v>
      </c>
      <c r="E26" s="441"/>
      <c r="F26" s="445"/>
      <c r="G26" s="445"/>
      <c r="H26" s="445">
        <v>31.5</v>
      </c>
      <c r="I26" s="446"/>
      <c r="J26" s="445"/>
      <c r="K26" s="445"/>
      <c r="L26" s="445"/>
      <c r="M26" s="441"/>
      <c r="N26" s="441"/>
      <c r="O26" s="447"/>
      <c r="P26" s="441"/>
      <c r="Q26" s="441"/>
      <c r="R26" s="441"/>
      <c r="S26" s="441"/>
      <c r="T26" s="441"/>
      <c r="U26" s="441"/>
      <c r="V26" s="441"/>
      <c r="W26" s="441"/>
      <c r="X26" s="441"/>
      <c r="Y26" s="441"/>
      <c r="Z26" s="447"/>
      <c r="AA26" s="441"/>
      <c r="AB26" s="441"/>
      <c r="AC26" s="441"/>
      <c r="AD26" s="441"/>
      <c r="AE26" s="441"/>
      <c r="AF26" s="441"/>
      <c r="AG26" s="441"/>
      <c r="AH26" s="441"/>
      <c r="AI26" s="441"/>
      <c r="AJ26" s="441"/>
      <c r="AK26" s="447">
        <f>SUM(AL26:AS26)</f>
        <v>31.5</v>
      </c>
      <c r="AL26" s="441"/>
      <c r="AM26" s="445"/>
      <c r="AN26" s="445"/>
      <c r="AO26" s="445">
        <v>31.5</v>
      </c>
      <c r="AP26" s="445"/>
      <c r="AQ26" s="445"/>
      <c r="AR26" s="445"/>
      <c r="AS26" s="445"/>
    </row>
    <row r="27" spans="1:47" s="361" customFormat="1" ht="83.45" customHeight="1">
      <c r="A27" s="440"/>
      <c r="B27" s="442" t="s">
        <v>402</v>
      </c>
      <c r="C27" s="442"/>
      <c r="D27" s="447">
        <f>SUM(E27:M27)</f>
        <v>11558.16697</v>
      </c>
      <c r="E27" s="447">
        <v>0</v>
      </c>
      <c r="F27" s="446">
        <f t="shared" ref="F27:L27" si="2">F24</f>
        <v>465</v>
      </c>
      <c r="G27" s="446">
        <f t="shared" si="2"/>
        <v>0</v>
      </c>
      <c r="H27" s="446">
        <f>H24</f>
        <v>661.5</v>
      </c>
      <c r="I27" s="446">
        <v>5000</v>
      </c>
      <c r="J27" s="446">
        <f t="shared" si="2"/>
        <v>0</v>
      </c>
      <c r="K27" s="446">
        <f t="shared" si="2"/>
        <v>4883.6681200000003</v>
      </c>
      <c r="L27" s="446">
        <f t="shared" si="2"/>
        <v>547.99884999999995</v>
      </c>
      <c r="M27" s="447">
        <v>0</v>
      </c>
      <c r="N27" s="447">
        <v>0</v>
      </c>
      <c r="O27" s="447">
        <f>SUM(P27:X27)</f>
        <v>20000</v>
      </c>
      <c r="P27" s="447">
        <v>0</v>
      </c>
      <c r="Q27" s="447">
        <v>0</v>
      </c>
      <c r="R27" s="447">
        <v>0</v>
      </c>
      <c r="S27" s="447">
        <v>0</v>
      </c>
      <c r="T27" s="441">
        <v>20000</v>
      </c>
      <c r="U27" s="447">
        <v>0</v>
      </c>
      <c r="V27" s="447">
        <v>0</v>
      </c>
      <c r="W27" s="447">
        <v>0</v>
      </c>
      <c r="X27" s="447">
        <v>0</v>
      </c>
      <c r="Y27" s="447">
        <v>0</v>
      </c>
      <c r="Z27" s="447">
        <v>0</v>
      </c>
      <c r="AA27" s="447">
        <v>0</v>
      </c>
      <c r="AB27" s="447">
        <v>0</v>
      </c>
      <c r="AC27" s="447">
        <v>0</v>
      </c>
      <c r="AD27" s="447">
        <v>0</v>
      </c>
      <c r="AE27" s="447">
        <v>0</v>
      </c>
      <c r="AF27" s="447">
        <v>0</v>
      </c>
      <c r="AG27" s="447">
        <v>0</v>
      </c>
      <c r="AH27" s="447">
        <v>0</v>
      </c>
      <c r="AI27" s="447">
        <v>0</v>
      </c>
      <c r="AJ27" s="447">
        <v>0</v>
      </c>
      <c r="AK27" s="447">
        <f>SUM(AL27:AS27)</f>
        <v>31558.166970000002</v>
      </c>
      <c r="AL27" s="447">
        <v>0</v>
      </c>
      <c r="AM27" s="446">
        <f t="shared" ref="AM27:AS27" si="3">AM24</f>
        <v>465</v>
      </c>
      <c r="AN27" s="446">
        <f t="shared" si="3"/>
        <v>0</v>
      </c>
      <c r="AO27" s="446">
        <f>AO24</f>
        <v>661.5</v>
      </c>
      <c r="AP27" s="446">
        <f>AP24</f>
        <v>25000</v>
      </c>
      <c r="AQ27" s="446">
        <f t="shared" si="3"/>
        <v>0</v>
      </c>
      <c r="AR27" s="446">
        <f t="shared" si="3"/>
        <v>4883.6681200000003</v>
      </c>
      <c r="AS27" s="446">
        <f t="shared" si="3"/>
        <v>547.99884999999995</v>
      </c>
    </row>
    <row r="28" spans="1:47" ht="15.75">
      <c r="A28" s="550" t="s">
        <v>763</v>
      </c>
      <c r="B28" s="550"/>
      <c r="C28" s="550"/>
      <c r="D28" s="550"/>
      <c r="E28" s="550"/>
      <c r="F28" s="550"/>
      <c r="G28" s="550"/>
      <c r="H28" s="550"/>
      <c r="I28" s="550"/>
      <c r="J28" s="550"/>
      <c r="K28" s="550"/>
      <c r="L28" s="550"/>
      <c r="M28" s="550"/>
      <c r="N28" s="550"/>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0"/>
      <c r="AM28" s="550"/>
      <c r="AN28" s="550"/>
      <c r="AO28" s="550"/>
      <c r="AP28" s="550"/>
      <c r="AQ28" s="550"/>
      <c r="AR28" s="550"/>
      <c r="AS28" s="550"/>
    </row>
    <row r="29" spans="1:47" s="361" customFormat="1" ht="88.15" customHeight="1">
      <c r="A29" s="440" t="s">
        <v>737</v>
      </c>
      <c r="B29" s="440" t="s">
        <v>781</v>
      </c>
      <c r="C29" s="450" t="s">
        <v>774</v>
      </c>
      <c r="D29" s="447">
        <f>SUM(E29:N29)</f>
        <v>116.99999939999999</v>
      </c>
      <c r="E29" s="441">
        <v>0</v>
      </c>
      <c r="F29" s="441">
        <v>0</v>
      </c>
      <c r="G29" s="441">
        <f>'приложение 4'!U27/1000</f>
        <v>50.999999399999993</v>
      </c>
      <c r="H29" s="441">
        <v>66</v>
      </c>
      <c r="I29" s="441">
        <v>0</v>
      </c>
      <c r="J29" s="441">
        <v>0</v>
      </c>
      <c r="K29" s="441">
        <v>0</v>
      </c>
      <c r="L29" s="441">
        <v>0</v>
      </c>
      <c r="M29" s="441">
        <v>0</v>
      </c>
      <c r="N29" s="441">
        <v>0</v>
      </c>
      <c r="O29" s="447">
        <v>0</v>
      </c>
      <c r="P29" s="441">
        <v>0</v>
      </c>
      <c r="Q29" s="441">
        <v>0</v>
      </c>
      <c r="R29" s="441">
        <v>0</v>
      </c>
      <c r="S29" s="441">
        <v>0</v>
      </c>
      <c r="T29" s="441">
        <v>0</v>
      </c>
      <c r="U29" s="441">
        <v>0</v>
      </c>
      <c r="V29" s="441">
        <v>0</v>
      </c>
      <c r="W29" s="441">
        <v>0</v>
      </c>
      <c r="X29" s="441">
        <v>0</v>
      </c>
      <c r="Y29" s="441">
        <v>0</v>
      </c>
      <c r="Z29" s="447">
        <v>0</v>
      </c>
      <c r="AA29" s="441">
        <v>0</v>
      </c>
      <c r="AB29" s="441">
        <v>0</v>
      </c>
      <c r="AC29" s="441">
        <v>0</v>
      </c>
      <c r="AD29" s="441">
        <v>0</v>
      </c>
      <c r="AE29" s="441">
        <v>0</v>
      </c>
      <c r="AF29" s="441">
        <v>0</v>
      </c>
      <c r="AG29" s="441">
        <v>0</v>
      </c>
      <c r="AH29" s="441">
        <v>0</v>
      </c>
      <c r="AI29" s="441">
        <v>0</v>
      </c>
      <c r="AJ29" s="441">
        <v>0</v>
      </c>
      <c r="AK29" s="447">
        <f>SUM(AL29:AS29)</f>
        <v>116.99999939999999</v>
      </c>
      <c r="AL29" s="441">
        <v>0</v>
      </c>
      <c r="AM29" s="441">
        <v>0</v>
      </c>
      <c r="AN29" s="441">
        <f>G29+R29+AC29</f>
        <v>50.999999399999993</v>
      </c>
      <c r="AO29" s="441">
        <f>H29+S29+AD29</f>
        <v>66</v>
      </c>
      <c r="AP29" s="441">
        <v>0</v>
      </c>
      <c r="AQ29" s="441">
        <v>0</v>
      </c>
      <c r="AR29" s="441">
        <v>0</v>
      </c>
      <c r="AS29" s="441">
        <v>0</v>
      </c>
    </row>
    <row r="30" spans="1:47" s="361" customFormat="1" ht="102" customHeight="1">
      <c r="A30" s="440" t="s">
        <v>784</v>
      </c>
      <c r="B30" s="440" t="s">
        <v>788</v>
      </c>
      <c r="C30" s="450"/>
      <c r="D30" s="447">
        <f>SUM(E30:M30)</f>
        <v>6</v>
      </c>
      <c r="E30" s="441"/>
      <c r="F30" s="441"/>
      <c r="G30" s="441"/>
      <c r="H30" s="441">
        <v>6</v>
      </c>
      <c r="I30" s="441"/>
      <c r="J30" s="441"/>
      <c r="K30" s="441"/>
      <c r="L30" s="441"/>
      <c r="M30" s="441"/>
      <c r="N30" s="441"/>
      <c r="O30" s="447"/>
      <c r="P30" s="441"/>
      <c r="Q30" s="441"/>
      <c r="R30" s="441"/>
      <c r="S30" s="441"/>
      <c r="T30" s="441"/>
      <c r="U30" s="441"/>
      <c r="V30" s="441"/>
      <c r="W30" s="441"/>
      <c r="X30" s="441"/>
      <c r="Y30" s="441"/>
      <c r="Z30" s="447"/>
      <c r="AA30" s="441"/>
      <c r="AB30" s="441"/>
      <c r="AC30" s="441"/>
      <c r="AD30" s="441"/>
      <c r="AE30" s="441"/>
      <c r="AF30" s="441"/>
      <c r="AG30" s="441"/>
      <c r="AH30" s="441"/>
      <c r="AI30" s="441"/>
      <c r="AJ30" s="441"/>
      <c r="AK30" s="447">
        <f>SUM(AL30:AS30)</f>
        <v>6</v>
      </c>
      <c r="AL30" s="441"/>
      <c r="AM30" s="441"/>
      <c r="AN30" s="441"/>
      <c r="AO30" s="441">
        <v>6</v>
      </c>
      <c r="AP30" s="441"/>
      <c r="AQ30" s="441"/>
      <c r="AR30" s="441"/>
      <c r="AS30" s="441"/>
    </row>
    <row r="31" spans="1:47" s="361" customFormat="1" ht="88.15" customHeight="1">
      <c r="A31" s="440"/>
      <c r="B31" s="442" t="s">
        <v>402</v>
      </c>
      <c r="C31" s="442"/>
      <c r="D31" s="447">
        <f>SUM(E31:M31)</f>
        <v>116.99999939999999</v>
      </c>
      <c r="E31" s="447">
        <v>0</v>
      </c>
      <c r="F31" s="447">
        <v>0</v>
      </c>
      <c r="G31" s="447">
        <f>G29</f>
        <v>50.999999399999993</v>
      </c>
      <c r="H31" s="447">
        <v>66</v>
      </c>
      <c r="I31" s="447">
        <v>0</v>
      </c>
      <c r="J31" s="447">
        <v>0</v>
      </c>
      <c r="K31" s="447">
        <v>0</v>
      </c>
      <c r="L31" s="447">
        <v>0</v>
      </c>
      <c r="M31" s="447">
        <v>0</v>
      </c>
      <c r="N31" s="447">
        <v>0</v>
      </c>
      <c r="O31" s="447">
        <v>0</v>
      </c>
      <c r="P31" s="447">
        <v>0</v>
      </c>
      <c r="Q31" s="447">
        <v>0</v>
      </c>
      <c r="R31" s="447">
        <v>0</v>
      </c>
      <c r="S31" s="447">
        <v>0</v>
      </c>
      <c r="T31" s="447">
        <v>0</v>
      </c>
      <c r="U31" s="447">
        <v>0</v>
      </c>
      <c r="V31" s="447">
        <v>0</v>
      </c>
      <c r="W31" s="447">
        <v>0</v>
      </c>
      <c r="X31" s="447">
        <v>0</v>
      </c>
      <c r="Y31" s="447">
        <v>0</v>
      </c>
      <c r="Z31" s="447">
        <v>0</v>
      </c>
      <c r="AA31" s="447">
        <v>0</v>
      </c>
      <c r="AB31" s="447">
        <v>0</v>
      </c>
      <c r="AC31" s="447">
        <v>0</v>
      </c>
      <c r="AD31" s="447">
        <v>0</v>
      </c>
      <c r="AE31" s="447">
        <v>0</v>
      </c>
      <c r="AF31" s="447">
        <v>0</v>
      </c>
      <c r="AG31" s="447">
        <v>0</v>
      </c>
      <c r="AH31" s="447">
        <v>0</v>
      </c>
      <c r="AI31" s="447">
        <v>0</v>
      </c>
      <c r="AJ31" s="447">
        <v>0</v>
      </c>
      <c r="AK31" s="447">
        <f>SUM(AL31:AS31)</f>
        <v>116.99999939999999</v>
      </c>
      <c r="AL31" s="447">
        <v>0</v>
      </c>
      <c r="AM31" s="447">
        <v>0</v>
      </c>
      <c r="AN31" s="447">
        <f>AN29</f>
        <v>50.999999399999993</v>
      </c>
      <c r="AO31" s="447">
        <v>66</v>
      </c>
      <c r="AP31" s="447">
        <v>0</v>
      </c>
      <c r="AQ31" s="447">
        <v>0</v>
      </c>
      <c r="AR31" s="447">
        <v>0</v>
      </c>
      <c r="AS31" s="447">
        <v>0</v>
      </c>
    </row>
    <row r="32" spans="1:47" s="362" customFormat="1" ht="83.45" customHeight="1">
      <c r="A32" s="442"/>
      <c r="B32" s="442" t="s">
        <v>403</v>
      </c>
      <c r="C32" s="442"/>
      <c r="D32" s="444">
        <f>SUM(E32:N32)</f>
        <v>45461.887819399999</v>
      </c>
      <c r="E32" s="444">
        <f>E18+E22+E27</f>
        <v>0</v>
      </c>
      <c r="F32" s="444">
        <f>F18+F22+F27</f>
        <v>6969.0012300000008</v>
      </c>
      <c r="G32" s="444">
        <f>G18+G22+G27+G31</f>
        <v>7321.5869193999997</v>
      </c>
      <c r="H32" s="444">
        <f>H18+H22+H27+H31</f>
        <v>11468.87796</v>
      </c>
      <c r="I32" s="444">
        <f>I18+I22+I27+I31</f>
        <v>8689.9747399999997</v>
      </c>
      <c r="J32" s="444">
        <f>J18+J22+J27</f>
        <v>0</v>
      </c>
      <c r="K32" s="444">
        <f>K18+K22+K27</f>
        <v>10464.448120000001</v>
      </c>
      <c r="L32" s="444">
        <f>L18+L22+L27</f>
        <v>547.99884999999995</v>
      </c>
      <c r="M32" s="444">
        <f>M18+M22+M27</f>
        <v>0</v>
      </c>
      <c r="N32" s="444">
        <f>N18+N22+N27</f>
        <v>0</v>
      </c>
      <c r="O32" s="444">
        <f>SUM(P32:Y32)</f>
        <v>237466.96347962276</v>
      </c>
      <c r="P32" s="444">
        <f t="shared" ref="P32:Y32" si="4">P18+P22+P27</f>
        <v>0</v>
      </c>
      <c r="Q32" s="444">
        <f t="shared" si="4"/>
        <v>26016.004940000003</v>
      </c>
      <c r="R32" s="444">
        <f t="shared" si="4"/>
        <v>29082.347659622767</v>
      </c>
      <c r="S32" s="444">
        <f t="shared" si="4"/>
        <v>57454.499380000001</v>
      </c>
      <c r="T32" s="444">
        <f t="shared" si="4"/>
        <v>82250.185100000002</v>
      </c>
      <c r="U32" s="444">
        <f t="shared" si="4"/>
        <v>20340.806400000001</v>
      </c>
      <c r="V32" s="444">
        <f t="shared" si="4"/>
        <v>22323.119999999999</v>
      </c>
      <c r="W32" s="444">
        <f t="shared" si="4"/>
        <v>0</v>
      </c>
      <c r="X32" s="444">
        <f t="shared" si="4"/>
        <v>0</v>
      </c>
      <c r="Y32" s="444">
        <f t="shared" si="4"/>
        <v>0</v>
      </c>
      <c r="Z32" s="444">
        <f>SUM(AA32:AJ32)</f>
        <v>197207.03171000001</v>
      </c>
      <c r="AA32" s="444">
        <f t="shared" ref="AA32:AJ32" si="5">AA18+AA22+AA27</f>
        <v>0</v>
      </c>
      <c r="AB32" s="444">
        <f t="shared" si="5"/>
        <v>20616.3024</v>
      </c>
      <c r="AC32" s="444">
        <f t="shared" si="5"/>
        <v>60687.777419999999</v>
      </c>
      <c r="AD32" s="444">
        <f t="shared" si="5"/>
        <v>115902.95189</v>
      </c>
      <c r="AE32" s="444">
        <f t="shared" si="5"/>
        <v>0</v>
      </c>
      <c r="AF32" s="444">
        <f t="shared" si="5"/>
        <v>0</v>
      </c>
      <c r="AG32" s="444">
        <f t="shared" si="5"/>
        <v>0</v>
      </c>
      <c r="AH32" s="444">
        <f t="shared" si="5"/>
        <v>0</v>
      </c>
      <c r="AI32" s="444">
        <f t="shared" si="5"/>
        <v>0</v>
      </c>
      <c r="AJ32" s="444">
        <f t="shared" si="5"/>
        <v>0</v>
      </c>
      <c r="AK32" s="444">
        <f>SUM(AL32:AS32)</f>
        <v>480135.88300902274</v>
      </c>
      <c r="AL32" s="444">
        <f>AL18+AL22+AL27</f>
        <v>0</v>
      </c>
      <c r="AM32" s="444">
        <f>AM18+AM22+AM27</f>
        <v>53601.308570000008</v>
      </c>
      <c r="AN32" s="444">
        <f>AN18+AN22+AN27+AN31</f>
        <v>97091.711999022751</v>
      </c>
      <c r="AO32" s="444">
        <f>AO18+AO22+AO27+AO31</f>
        <v>184826.32923</v>
      </c>
      <c r="AP32" s="444">
        <f>AP18+AP22+AP27+AP31</f>
        <v>90940.159839999993</v>
      </c>
      <c r="AQ32" s="444">
        <f>AQ18+AQ22+AQ27</f>
        <v>20340.806400000001</v>
      </c>
      <c r="AR32" s="444">
        <f>AR18+AR22+AR27</f>
        <v>32787.568119999996</v>
      </c>
      <c r="AS32" s="444">
        <f>AS18+AS22+AS27</f>
        <v>547.99884999999995</v>
      </c>
    </row>
    <row r="33" spans="1:45" s="365" customFormat="1" ht="9.6" customHeight="1">
      <c r="A33" s="363"/>
      <c r="B33" s="363"/>
      <c r="C33" s="363"/>
      <c r="D33" s="144"/>
      <c r="E33" s="144"/>
      <c r="F33" s="144"/>
      <c r="G33" s="144"/>
      <c r="H33" s="144"/>
      <c r="I33" s="144"/>
      <c r="J33" s="144"/>
      <c r="K33" s="144"/>
      <c r="L33" s="144"/>
      <c r="M33" s="144" t="s">
        <v>380</v>
      </c>
      <c r="N33" s="144" t="s">
        <v>380</v>
      </c>
      <c r="O33" s="144"/>
      <c r="P33" s="144"/>
      <c r="Q33" s="144"/>
      <c r="R33" s="144"/>
      <c r="S33" s="144"/>
      <c r="T33" s="144"/>
      <c r="U33" s="144"/>
      <c r="V33" s="144"/>
      <c r="W33" s="144"/>
      <c r="X33" s="144"/>
      <c r="Y33" s="144"/>
      <c r="Z33" s="364"/>
      <c r="AA33" s="144"/>
      <c r="AB33" s="364"/>
      <c r="AC33" s="144"/>
      <c r="AD33" s="144"/>
      <c r="AE33" s="144"/>
      <c r="AF33" s="144"/>
      <c r="AG33" s="144"/>
      <c r="AH33" s="144"/>
      <c r="AI33" s="144"/>
      <c r="AJ33" s="144"/>
      <c r="AK33" s="364"/>
      <c r="AL33" s="144"/>
      <c r="AM33" s="144"/>
      <c r="AN33" s="144"/>
      <c r="AO33" s="144"/>
      <c r="AP33" s="144"/>
      <c r="AQ33" s="144"/>
      <c r="AR33" s="144"/>
      <c r="AS33" s="144"/>
    </row>
    <row r="34" spans="1:45">
      <c r="A34" s="366" t="s">
        <v>404</v>
      </c>
    </row>
    <row r="35" spans="1:45" ht="23.45" customHeight="1">
      <c r="A35" s="548" t="s">
        <v>405</v>
      </c>
      <c r="B35" s="549"/>
      <c r="C35" s="549"/>
      <c r="D35" s="549"/>
      <c r="E35" s="549"/>
      <c r="F35" s="549"/>
      <c r="G35" s="549"/>
      <c r="H35" s="549"/>
      <c r="I35" s="549"/>
      <c r="J35" s="549"/>
      <c r="K35" s="549"/>
      <c r="L35" s="549"/>
      <c r="M35" s="549"/>
      <c r="N35" s="549"/>
      <c r="O35" s="549"/>
      <c r="P35" s="549"/>
      <c r="Q35" s="549"/>
      <c r="R35" s="549"/>
      <c r="S35" s="549"/>
      <c r="T35" s="549"/>
      <c r="U35" s="549"/>
      <c r="V35" s="549"/>
      <c r="W35" s="549"/>
      <c r="X35" s="549"/>
      <c r="Y35" s="549"/>
      <c r="Z35" s="549"/>
      <c r="AA35" s="549"/>
      <c r="AB35" s="549"/>
      <c r="AC35" s="549"/>
      <c r="AD35" s="549"/>
      <c r="AE35" s="549"/>
      <c r="AF35" s="549"/>
      <c r="AG35" s="549"/>
      <c r="AH35" s="549"/>
      <c r="AI35" s="549"/>
      <c r="AJ35" s="549"/>
      <c r="AK35" s="549"/>
      <c r="AL35" s="549"/>
      <c r="AM35" s="549"/>
      <c r="AN35" s="549"/>
      <c r="AO35" s="549"/>
      <c r="AP35" s="549"/>
      <c r="AQ35" s="549"/>
      <c r="AR35" s="549"/>
      <c r="AS35" s="549"/>
    </row>
    <row r="36" spans="1:45">
      <c r="A36" s="366" t="s">
        <v>406</v>
      </c>
    </row>
  </sheetData>
  <mergeCells count="23">
    <mergeCell ref="A16:AS16"/>
    <mergeCell ref="A12:A14"/>
    <mergeCell ref="B12:B14"/>
    <mergeCell ref="C12:C14"/>
    <mergeCell ref="D12:N12"/>
    <mergeCell ref="D13:D14"/>
    <mergeCell ref="E13:N13"/>
    <mergeCell ref="AG8:AS8"/>
    <mergeCell ref="O13:O14"/>
    <mergeCell ref="Z13:Z14"/>
    <mergeCell ref="AK13:AK14"/>
    <mergeCell ref="AL13:AS13"/>
    <mergeCell ref="AK12:AS12"/>
    <mergeCell ref="P13:Y13"/>
    <mergeCell ref="O12:Y12"/>
    <mergeCell ref="Z12:AJ12"/>
    <mergeCell ref="AA13:AJ13"/>
    <mergeCell ref="C20:C21"/>
    <mergeCell ref="A20:A21"/>
    <mergeCell ref="A35:AS35"/>
    <mergeCell ref="A28:AS28"/>
    <mergeCell ref="A19:AS19"/>
    <mergeCell ref="A23:AS23"/>
  </mergeCells>
  <phoneticPr fontId="63" type="noConversion"/>
  <printOptions horizontalCentered="1"/>
  <pageMargins left="0" right="0.31496062992125984" top="0.15748031496062992" bottom="0.35433070866141736" header="0.31496062992125984" footer="0.31496062992125984"/>
  <pageSetup paperSize="9" scale="57" fitToHeight="2" orientation="landscape" r:id="rId1"/>
  <headerFooter differentOddEven="1"/>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AJ147"/>
  <sheetViews>
    <sheetView topLeftCell="A8" zoomScaleNormal="100" workbookViewId="0">
      <pane xSplit="2" ySplit="5" topLeftCell="C13" activePane="bottomRight" state="frozen"/>
      <selection activeCell="A8" sqref="A8"/>
      <selection pane="topRight" activeCell="C8" sqref="C8"/>
      <selection pane="bottomLeft" activeCell="A13" sqref="A13"/>
      <selection pane="bottomRight" activeCell="P140" sqref="P140"/>
    </sheetView>
  </sheetViews>
  <sheetFormatPr defaultRowHeight="15"/>
  <cols>
    <col min="1" max="1" width="4.7109375" style="1" customWidth="1"/>
    <col min="2" max="2" width="28.7109375" style="1" customWidth="1"/>
    <col min="3" max="3" width="6" style="1" customWidth="1"/>
    <col min="4" max="4" width="10.28515625" style="1" customWidth="1"/>
    <col min="5" max="5" width="7" style="1" customWidth="1"/>
    <col min="6" max="6" width="6.85546875" style="1" customWidth="1"/>
    <col min="7" max="7" width="5.7109375" style="1" customWidth="1"/>
    <col min="8" max="8" width="5.42578125" style="1" customWidth="1"/>
    <col min="9" max="9" width="4.5703125" style="1" customWidth="1"/>
    <col min="10" max="10" width="4.28515625" style="1" customWidth="1"/>
    <col min="11" max="13" width="8.85546875" style="1" customWidth="1"/>
    <col min="14" max="14" width="22.5703125" style="1" customWidth="1"/>
    <col min="15" max="15" width="18.85546875" style="1" customWidth="1"/>
    <col min="16" max="16" width="14.5703125" style="1" customWidth="1"/>
    <col min="17" max="17" width="15.140625" style="1" customWidth="1"/>
    <col min="18" max="18" width="12.85546875" style="1" hidden="1" customWidth="1"/>
    <col min="19" max="19" width="16.5703125" style="1" hidden="1" customWidth="1"/>
    <col min="20" max="20" width="15.140625" style="3" hidden="1" customWidth="1"/>
    <col min="21" max="21" width="12.28515625" style="1" hidden="1" customWidth="1"/>
    <col min="22" max="35" width="0" hidden="1" customWidth="1"/>
  </cols>
  <sheetData>
    <row r="1" spans="1:19" ht="24" hidden="1">
      <c r="H1" s="2"/>
      <c r="I1" s="2"/>
      <c r="J1" s="2"/>
      <c r="K1" s="2"/>
      <c r="L1" s="2"/>
      <c r="O1" s="562" t="s">
        <v>0</v>
      </c>
      <c r="P1" s="562"/>
      <c r="Q1" s="562"/>
      <c r="R1" s="562"/>
    </row>
    <row r="2" spans="1:19" ht="25.5" customHeight="1">
      <c r="A2" s="4"/>
      <c r="B2" s="4"/>
      <c r="C2" s="4"/>
      <c r="D2" s="4"/>
      <c r="E2" s="4"/>
      <c r="F2" s="4"/>
      <c r="G2" s="4"/>
      <c r="H2" s="5"/>
      <c r="I2" s="5"/>
      <c r="J2" s="5"/>
      <c r="K2" s="5"/>
      <c r="L2" s="5"/>
      <c r="M2" s="4"/>
      <c r="N2" s="4"/>
      <c r="O2" s="6"/>
      <c r="P2" s="563" t="s">
        <v>0</v>
      </c>
      <c r="Q2" s="563"/>
      <c r="R2" s="563"/>
    </row>
    <row r="3" spans="1:19" ht="30.75" customHeight="1">
      <c r="A3" s="4"/>
      <c r="B3" s="4"/>
      <c r="C3" s="4"/>
      <c r="D3" s="4"/>
      <c r="E3" s="4"/>
      <c r="F3" s="4"/>
      <c r="G3" s="4"/>
      <c r="H3" s="5"/>
      <c r="I3" s="5"/>
      <c r="J3" s="5"/>
      <c r="K3" s="5"/>
      <c r="L3" s="5"/>
      <c r="M3" s="4"/>
      <c r="N3" s="4"/>
      <c r="O3" s="6"/>
      <c r="P3" s="563" t="s">
        <v>1</v>
      </c>
      <c r="Q3" s="563"/>
      <c r="R3" s="563"/>
    </row>
    <row r="4" spans="1:19" ht="59.25" customHeight="1">
      <c r="A4" s="4"/>
      <c r="B4" s="4"/>
      <c r="C4" s="4"/>
      <c r="D4" s="4"/>
      <c r="E4" s="4"/>
      <c r="F4" s="4"/>
      <c r="G4" s="4"/>
      <c r="H4" s="4"/>
      <c r="I4" s="4"/>
      <c r="J4" s="4"/>
      <c r="K4" s="4"/>
      <c r="L4" s="4"/>
      <c r="M4" s="4"/>
      <c r="N4" s="563"/>
      <c r="O4" s="563"/>
      <c r="P4" s="563"/>
      <c r="Q4" s="563"/>
      <c r="R4" s="4"/>
    </row>
    <row r="5" spans="1:19" ht="24.75" hidden="1">
      <c r="A5" s="4"/>
      <c r="B5" s="4"/>
      <c r="C5" s="4"/>
      <c r="D5" s="4"/>
      <c r="E5" s="4"/>
      <c r="F5" s="4"/>
      <c r="G5" s="4"/>
      <c r="H5" s="4"/>
      <c r="I5" s="4"/>
      <c r="J5" s="4"/>
      <c r="K5" s="4"/>
      <c r="L5" s="4"/>
      <c r="M5" s="4"/>
      <c r="N5" s="563"/>
      <c r="O5" s="563"/>
      <c r="P5" s="563"/>
      <c r="Q5" s="563"/>
      <c r="R5" s="4"/>
    </row>
    <row r="6" spans="1:19" ht="90.75" customHeight="1">
      <c r="A6" s="565" t="s">
        <v>2</v>
      </c>
      <c r="B6" s="565"/>
      <c r="C6" s="565"/>
      <c r="D6" s="565"/>
      <c r="E6" s="565"/>
      <c r="F6" s="565"/>
      <c r="G6" s="565"/>
      <c r="H6" s="565"/>
      <c r="I6" s="565"/>
      <c r="J6" s="565"/>
      <c r="K6" s="565"/>
      <c r="L6" s="565"/>
      <c r="M6" s="565"/>
      <c r="N6" s="565"/>
      <c r="O6" s="565"/>
      <c r="P6" s="565"/>
      <c r="Q6" s="565"/>
      <c r="R6" s="565"/>
    </row>
    <row r="7" spans="1:19" ht="6.75" customHeight="1">
      <c r="A7" s="7"/>
      <c r="B7" s="7"/>
      <c r="C7" s="7"/>
      <c r="D7" s="7"/>
      <c r="E7" s="7"/>
      <c r="F7" s="7"/>
      <c r="G7" s="7"/>
      <c r="H7" s="7"/>
      <c r="I7" s="7"/>
      <c r="J7" s="7"/>
      <c r="K7" s="7"/>
      <c r="L7" s="7"/>
      <c r="M7" s="7"/>
      <c r="N7" s="7"/>
      <c r="O7" s="7"/>
      <c r="P7" s="7"/>
      <c r="Q7" s="7"/>
      <c r="R7" s="7"/>
    </row>
    <row r="8" spans="1:19" ht="51" customHeight="1">
      <c r="A8" s="566" t="s">
        <v>3</v>
      </c>
      <c r="B8" s="566" t="s">
        <v>4</v>
      </c>
      <c r="C8" s="569" t="s">
        <v>5</v>
      </c>
      <c r="D8" s="570"/>
      <c r="E8" s="558" t="s">
        <v>6</v>
      </c>
      <c r="F8" s="558" t="s">
        <v>7</v>
      </c>
      <c r="G8" s="558" t="s">
        <v>8</v>
      </c>
      <c r="H8" s="566" t="s">
        <v>9</v>
      </c>
      <c r="I8" s="567"/>
      <c r="J8" s="567"/>
      <c r="K8" s="566" t="s">
        <v>10</v>
      </c>
      <c r="L8" s="567"/>
      <c r="M8" s="567"/>
      <c r="N8" s="568" t="s">
        <v>11</v>
      </c>
      <c r="O8" s="568"/>
      <c r="P8" s="568"/>
      <c r="Q8" s="568"/>
      <c r="R8" s="558" t="s">
        <v>12</v>
      </c>
    </row>
    <row r="9" spans="1:19">
      <c r="A9" s="566"/>
      <c r="B9" s="566"/>
      <c r="C9" s="571"/>
      <c r="D9" s="572"/>
      <c r="E9" s="559"/>
      <c r="F9" s="559"/>
      <c r="G9" s="559"/>
      <c r="H9" s="579" t="s">
        <v>13</v>
      </c>
      <c r="I9" s="582" t="s">
        <v>14</v>
      </c>
      <c r="J9" s="583"/>
      <c r="K9" s="584" t="s">
        <v>13</v>
      </c>
      <c r="L9" s="582" t="s">
        <v>14</v>
      </c>
      <c r="M9" s="583"/>
      <c r="N9" s="558" t="s">
        <v>15</v>
      </c>
      <c r="O9" s="576" t="s">
        <v>16</v>
      </c>
      <c r="P9" s="564" t="s">
        <v>17</v>
      </c>
      <c r="Q9" s="564" t="s">
        <v>18</v>
      </c>
      <c r="R9" s="559"/>
    </row>
    <row r="10" spans="1:19" ht="16.5" customHeight="1">
      <c r="A10" s="568"/>
      <c r="B10" s="568"/>
      <c r="C10" s="573"/>
      <c r="D10" s="574"/>
      <c r="E10" s="560"/>
      <c r="F10" s="560"/>
      <c r="G10" s="560"/>
      <c r="H10" s="580"/>
      <c r="I10" s="558" t="s">
        <v>19</v>
      </c>
      <c r="J10" s="558" t="s">
        <v>20</v>
      </c>
      <c r="K10" s="585"/>
      <c r="L10" s="558" t="s">
        <v>19</v>
      </c>
      <c r="M10" s="558" t="s">
        <v>20</v>
      </c>
      <c r="N10" s="559"/>
      <c r="O10" s="577"/>
      <c r="P10" s="564"/>
      <c r="Q10" s="564"/>
      <c r="R10" s="560"/>
    </row>
    <row r="11" spans="1:19" ht="72.75" customHeight="1">
      <c r="A11" s="568"/>
      <c r="B11" s="568"/>
      <c r="C11" s="579" t="s">
        <v>21</v>
      </c>
      <c r="D11" s="579" t="s">
        <v>22</v>
      </c>
      <c r="E11" s="560"/>
      <c r="F11" s="560"/>
      <c r="G11" s="560"/>
      <c r="H11" s="581"/>
      <c r="I11" s="575"/>
      <c r="J11" s="575"/>
      <c r="K11" s="586"/>
      <c r="L11" s="575"/>
      <c r="M11" s="575"/>
      <c r="N11" s="575"/>
      <c r="O11" s="578"/>
      <c r="P11" s="564"/>
      <c r="Q11" s="564"/>
      <c r="R11" s="560"/>
    </row>
    <row r="12" spans="1:19" ht="15.75" customHeight="1">
      <c r="A12" s="568"/>
      <c r="B12" s="568"/>
      <c r="C12" s="561"/>
      <c r="D12" s="561"/>
      <c r="E12" s="561"/>
      <c r="F12" s="561"/>
      <c r="G12" s="8" t="s">
        <v>23</v>
      </c>
      <c r="H12" s="8" t="s">
        <v>24</v>
      </c>
      <c r="I12" s="8" t="s">
        <v>24</v>
      </c>
      <c r="J12" s="8" t="s">
        <v>24</v>
      </c>
      <c r="K12" s="9" t="s">
        <v>25</v>
      </c>
      <c r="L12" s="8" t="s">
        <v>25</v>
      </c>
      <c r="M12" s="8" t="s">
        <v>25</v>
      </c>
      <c r="N12" s="10" t="s">
        <v>26</v>
      </c>
      <c r="O12" s="8" t="s">
        <v>26</v>
      </c>
      <c r="P12" s="8" t="s">
        <v>26</v>
      </c>
      <c r="Q12" s="8" t="s">
        <v>26</v>
      </c>
      <c r="R12" s="561"/>
    </row>
    <row r="13" spans="1:19">
      <c r="A13" s="8">
        <v>1</v>
      </c>
      <c r="B13" s="8">
        <v>2</v>
      </c>
      <c r="C13" s="8">
        <v>3</v>
      </c>
      <c r="D13" s="8">
        <v>4</v>
      </c>
      <c r="E13" s="8">
        <v>5</v>
      </c>
      <c r="F13" s="8">
        <v>6</v>
      </c>
      <c r="G13" s="8">
        <v>7</v>
      </c>
      <c r="H13" s="8">
        <v>8</v>
      </c>
      <c r="I13" s="8">
        <v>9</v>
      </c>
      <c r="J13" s="8">
        <v>10</v>
      </c>
      <c r="K13" s="8">
        <v>11</v>
      </c>
      <c r="L13" s="8">
        <v>12</v>
      </c>
      <c r="M13" s="8">
        <v>13</v>
      </c>
      <c r="N13" s="8">
        <v>14</v>
      </c>
      <c r="O13" s="8">
        <v>15</v>
      </c>
      <c r="P13" s="8">
        <v>16</v>
      </c>
      <c r="Q13" s="8">
        <v>17</v>
      </c>
      <c r="R13" s="8">
        <v>18</v>
      </c>
      <c r="S13" s="11"/>
    </row>
    <row r="14" spans="1:19" ht="26.25" hidden="1" customHeight="1">
      <c r="A14" s="588" t="s">
        <v>27</v>
      </c>
      <c r="B14" s="589"/>
      <c r="C14" s="12" t="s">
        <v>28</v>
      </c>
      <c r="D14" s="12" t="s">
        <v>28</v>
      </c>
      <c r="E14" s="12" t="s">
        <v>28</v>
      </c>
      <c r="F14" s="12" t="s">
        <v>28</v>
      </c>
      <c r="G14" s="13">
        <v>2731</v>
      </c>
      <c r="H14" s="13">
        <v>1204</v>
      </c>
      <c r="I14" s="13">
        <v>753</v>
      </c>
      <c r="J14" s="13">
        <v>451</v>
      </c>
      <c r="K14" s="14">
        <v>43059.06</v>
      </c>
      <c r="L14" s="14">
        <v>28207.42</v>
      </c>
      <c r="M14" s="14">
        <v>14851.64</v>
      </c>
      <c r="N14" s="15">
        <v>2115062869.48</v>
      </c>
      <c r="O14" s="15">
        <v>1321356200.55</v>
      </c>
      <c r="P14" s="15">
        <v>602352031.62</v>
      </c>
      <c r="Q14" s="15">
        <v>191354637.31</v>
      </c>
      <c r="R14" s="16"/>
      <c r="S14" s="17"/>
    </row>
    <row r="15" spans="1:19" ht="63" hidden="1" customHeight="1">
      <c r="A15" s="588" t="s">
        <v>29</v>
      </c>
      <c r="B15" s="589"/>
      <c r="C15" s="12" t="s">
        <v>28</v>
      </c>
      <c r="D15" s="12" t="s">
        <v>28</v>
      </c>
      <c r="E15" s="12" t="s">
        <v>28</v>
      </c>
      <c r="F15" s="12" t="s">
        <v>28</v>
      </c>
      <c r="G15" s="13" t="e">
        <f>SUM(G18,G43,G83,G121,#REF!,#REF!)</f>
        <v>#REF!</v>
      </c>
      <c r="H15" s="13" t="e">
        <f>SUM(H18,H43,H83,H121,#REF!,#REF!)</f>
        <v>#REF!</v>
      </c>
      <c r="I15" s="13" t="e">
        <f>SUM(I18,I43,I83,I121,#REF!,#REF!)</f>
        <v>#REF!</v>
      </c>
      <c r="J15" s="13" t="e">
        <f>SUM(J18,J43,J83,J121,#REF!,#REF!)</f>
        <v>#REF!</v>
      </c>
      <c r="K15" s="14" t="e">
        <f>SUM(K18,K43,K83,K121,#REF!,#REF!)</f>
        <v>#REF!</v>
      </c>
      <c r="L15" s="14" t="e">
        <f>SUM(L18,L43,L83,L121,#REF!,#REF!)</f>
        <v>#REF!</v>
      </c>
      <c r="M15" s="14" t="e">
        <f>SUM(M18,M43,M83,M121,#REF!,#REF!)</f>
        <v>#REF!</v>
      </c>
      <c r="N15" s="15">
        <v>2040469946.72</v>
      </c>
      <c r="O15" s="15">
        <v>1321356200.55</v>
      </c>
      <c r="P15" s="15">
        <v>531488755</v>
      </c>
      <c r="Q15" s="15">
        <v>187624991.17000002</v>
      </c>
      <c r="R15" s="16"/>
    </row>
    <row r="16" spans="1:19" ht="19.5" hidden="1" customHeight="1">
      <c r="A16" s="588" t="s">
        <v>30</v>
      </c>
      <c r="B16" s="589"/>
      <c r="C16" s="12" t="s">
        <v>28</v>
      </c>
      <c r="D16" s="12" t="s">
        <v>28</v>
      </c>
      <c r="E16" s="12" t="s">
        <v>28</v>
      </c>
      <c r="F16" s="12" t="s">
        <v>28</v>
      </c>
      <c r="G16" s="13">
        <f t="shared" ref="G16:Q16" si="0">SUM(G39,G63)</f>
        <v>129</v>
      </c>
      <c r="H16" s="13">
        <f t="shared" si="0"/>
        <v>59</v>
      </c>
      <c r="I16" s="13">
        <f t="shared" si="0"/>
        <v>30</v>
      </c>
      <c r="J16" s="13">
        <f t="shared" si="0"/>
        <v>29</v>
      </c>
      <c r="K16" s="14">
        <f t="shared" si="0"/>
        <v>2191.59</v>
      </c>
      <c r="L16" s="14">
        <f t="shared" si="0"/>
        <v>1233.5099999999998</v>
      </c>
      <c r="M16" s="14">
        <f t="shared" si="0"/>
        <v>958.08</v>
      </c>
      <c r="N16" s="15">
        <f t="shared" si="0"/>
        <v>74592922.75999999</v>
      </c>
      <c r="O16" s="15">
        <f t="shared" si="0"/>
        <v>0</v>
      </c>
      <c r="P16" s="15">
        <f t="shared" si="0"/>
        <v>70863276.620000005</v>
      </c>
      <c r="Q16" s="15">
        <f t="shared" si="0"/>
        <v>3729646.1399999997</v>
      </c>
      <c r="R16" s="16"/>
      <c r="S16" s="17"/>
    </row>
    <row r="17" spans="1:19" ht="18.75" hidden="1" customHeight="1">
      <c r="A17" s="587" t="s">
        <v>31</v>
      </c>
      <c r="B17" s="587"/>
      <c r="C17" s="12" t="s">
        <v>28</v>
      </c>
      <c r="D17" s="12" t="s">
        <v>28</v>
      </c>
      <c r="E17" s="12" t="s">
        <v>28</v>
      </c>
      <c r="F17" s="12" t="s">
        <v>28</v>
      </c>
      <c r="G17" s="13">
        <f t="shared" ref="G17:Q17" si="1">SUM(G18,G39)</f>
        <v>330</v>
      </c>
      <c r="H17" s="13">
        <f t="shared" si="1"/>
        <v>140</v>
      </c>
      <c r="I17" s="13">
        <f t="shared" si="1"/>
        <v>87</v>
      </c>
      <c r="J17" s="13">
        <f t="shared" si="1"/>
        <v>53</v>
      </c>
      <c r="K17" s="14">
        <f t="shared" si="1"/>
        <v>4696.0499999999993</v>
      </c>
      <c r="L17" s="14">
        <f t="shared" si="1"/>
        <v>3138.6600000000003</v>
      </c>
      <c r="M17" s="14">
        <f t="shared" si="1"/>
        <v>1557.39</v>
      </c>
      <c r="N17" s="15">
        <f t="shared" si="1"/>
        <v>184347313.75</v>
      </c>
      <c r="O17" s="15">
        <f t="shared" si="1"/>
        <v>142803575.34</v>
      </c>
      <c r="P17" s="15">
        <f t="shared" si="1"/>
        <v>31743666.219999999</v>
      </c>
      <c r="Q17" s="15">
        <f t="shared" si="1"/>
        <v>9800072.1899999995</v>
      </c>
      <c r="R17" s="16"/>
      <c r="S17" s="17"/>
    </row>
    <row r="18" spans="1:19" ht="27" hidden="1" customHeight="1">
      <c r="A18" s="587" t="s">
        <v>32</v>
      </c>
      <c r="B18" s="587"/>
      <c r="C18" s="12" t="s">
        <v>28</v>
      </c>
      <c r="D18" s="12" t="s">
        <v>28</v>
      </c>
      <c r="E18" s="12" t="s">
        <v>28</v>
      </c>
      <c r="F18" s="12" t="s">
        <v>28</v>
      </c>
      <c r="G18" s="18">
        <f t="shared" ref="G18:Q18" si="2">SUM(G19,G25,G28,G33)</f>
        <v>329</v>
      </c>
      <c r="H18" s="18">
        <f t="shared" si="2"/>
        <v>139</v>
      </c>
      <c r="I18" s="18">
        <f t="shared" si="2"/>
        <v>87</v>
      </c>
      <c r="J18" s="18">
        <f t="shared" si="2"/>
        <v>52</v>
      </c>
      <c r="K18" s="19">
        <f t="shared" si="2"/>
        <v>4675.1499999999996</v>
      </c>
      <c r="L18" s="19">
        <f t="shared" si="2"/>
        <v>3138.6600000000003</v>
      </c>
      <c r="M18" s="19">
        <f t="shared" si="2"/>
        <v>1536.49</v>
      </c>
      <c r="N18" s="15">
        <f t="shared" si="2"/>
        <v>184347313.75</v>
      </c>
      <c r="O18" s="15">
        <f t="shared" si="2"/>
        <v>142803575.34</v>
      </c>
      <c r="P18" s="15">
        <f t="shared" si="2"/>
        <v>31743666.219999999</v>
      </c>
      <c r="Q18" s="15">
        <f t="shared" si="2"/>
        <v>9800072.1899999995</v>
      </c>
      <c r="R18" s="16"/>
    </row>
    <row r="19" spans="1:19" ht="27" hidden="1" customHeight="1">
      <c r="A19" s="588" t="s">
        <v>33</v>
      </c>
      <c r="B19" s="589"/>
      <c r="C19" s="12" t="s">
        <v>28</v>
      </c>
      <c r="D19" s="12" t="s">
        <v>28</v>
      </c>
      <c r="E19" s="12" t="s">
        <v>28</v>
      </c>
      <c r="F19" s="12" t="s">
        <v>28</v>
      </c>
      <c r="G19" s="18">
        <f t="shared" ref="G19:Q19" si="3">SUM(G20:G24)</f>
        <v>104</v>
      </c>
      <c r="H19" s="18">
        <f t="shared" si="3"/>
        <v>50</v>
      </c>
      <c r="I19" s="18">
        <f t="shared" si="3"/>
        <v>28</v>
      </c>
      <c r="J19" s="18">
        <f t="shared" si="3"/>
        <v>22</v>
      </c>
      <c r="K19" s="19">
        <f t="shared" si="3"/>
        <v>1572.1299999999999</v>
      </c>
      <c r="L19" s="19">
        <f t="shared" si="3"/>
        <v>992.19</v>
      </c>
      <c r="M19" s="19">
        <f t="shared" si="3"/>
        <v>579.93999999999994</v>
      </c>
      <c r="N19" s="20">
        <f t="shared" si="3"/>
        <v>61028855.119999997</v>
      </c>
      <c r="O19" s="20">
        <f t="shared" si="3"/>
        <v>47789702.439999998</v>
      </c>
      <c r="P19" s="20">
        <f t="shared" si="3"/>
        <v>12577195.01</v>
      </c>
      <c r="Q19" s="20">
        <f t="shared" si="3"/>
        <v>661957.67000000004</v>
      </c>
      <c r="R19" s="16"/>
    </row>
    <row r="20" spans="1:19" ht="28.5" hidden="1" customHeight="1">
      <c r="A20" s="21" t="s">
        <v>34</v>
      </c>
      <c r="B20" s="22" t="s">
        <v>35</v>
      </c>
      <c r="C20" s="23">
        <v>154</v>
      </c>
      <c r="D20" s="24">
        <v>42444</v>
      </c>
      <c r="E20" s="25" t="s">
        <v>36</v>
      </c>
      <c r="F20" s="25" t="s">
        <v>37</v>
      </c>
      <c r="G20" s="26">
        <v>1</v>
      </c>
      <c r="H20" s="26">
        <v>1</v>
      </c>
      <c r="I20" s="26">
        <v>0</v>
      </c>
      <c r="J20" s="26">
        <v>1</v>
      </c>
      <c r="K20" s="27">
        <v>42.9</v>
      </c>
      <c r="L20" s="27">
        <v>0</v>
      </c>
      <c r="M20" s="27">
        <v>42.9</v>
      </c>
      <c r="N20" s="28">
        <v>1762422.2</v>
      </c>
      <c r="O20" s="28">
        <v>850429.48</v>
      </c>
      <c r="P20" s="29">
        <v>866393.08</v>
      </c>
      <c r="Q20" s="29">
        <v>45599.64</v>
      </c>
      <c r="R20" s="16"/>
      <c r="S20" s="30"/>
    </row>
    <row r="21" spans="1:19" ht="26.25" hidden="1" customHeight="1">
      <c r="A21" s="12" t="s">
        <v>38</v>
      </c>
      <c r="B21" s="22" t="s">
        <v>39</v>
      </c>
      <c r="C21" s="21" t="s">
        <v>40</v>
      </c>
      <c r="D21" s="24">
        <v>41999</v>
      </c>
      <c r="E21" s="25" t="s">
        <v>36</v>
      </c>
      <c r="F21" s="25" t="s">
        <v>37</v>
      </c>
      <c r="G21" s="31">
        <v>9</v>
      </c>
      <c r="H21" s="31">
        <v>7</v>
      </c>
      <c r="I21" s="31">
        <v>6</v>
      </c>
      <c r="J21" s="31">
        <v>1</v>
      </c>
      <c r="K21" s="32">
        <v>251.23</v>
      </c>
      <c r="L21" s="32">
        <v>227.23</v>
      </c>
      <c r="M21" s="32">
        <v>24</v>
      </c>
      <c r="N21" s="20">
        <v>9041977.9399999995</v>
      </c>
      <c r="O21" s="20">
        <v>7726413.75</v>
      </c>
      <c r="P21" s="15">
        <v>1249785.97</v>
      </c>
      <c r="Q21" s="15">
        <v>65778.22</v>
      </c>
      <c r="R21" s="33"/>
    </row>
    <row r="22" spans="1:19" ht="28.5" hidden="1" customHeight="1">
      <c r="A22" s="21" t="s">
        <v>41</v>
      </c>
      <c r="B22" s="22" t="s">
        <v>42</v>
      </c>
      <c r="C22" s="23">
        <v>217</v>
      </c>
      <c r="D22" s="24">
        <v>42486</v>
      </c>
      <c r="E22" s="25" t="s">
        <v>36</v>
      </c>
      <c r="F22" s="25" t="s">
        <v>37</v>
      </c>
      <c r="G22" s="26">
        <v>2</v>
      </c>
      <c r="H22" s="26">
        <v>1</v>
      </c>
      <c r="I22" s="26">
        <v>0</v>
      </c>
      <c r="J22" s="26">
        <v>1</v>
      </c>
      <c r="K22" s="27">
        <v>46</v>
      </c>
      <c r="L22" s="27">
        <v>0</v>
      </c>
      <c r="M22" s="27">
        <v>46</v>
      </c>
      <c r="N22" s="28">
        <v>1749343</v>
      </c>
      <c r="O22" s="28">
        <v>911882.42</v>
      </c>
      <c r="P22" s="29">
        <v>795587.55</v>
      </c>
      <c r="Q22" s="29">
        <v>41873.03</v>
      </c>
      <c r="R22" s="16"/>
    </row>
    <row r="23" spans="1:19" ht="26.25" hidden="1" customHeight="1">
      <c r="A23" s="21" t="s">
        <v>43</v>
      </c>
      <c r="B23" s="34" t="s">
        <v>44</v>
      </c>
      <c r="C23" s="35">
        <v>944</v>
      </c>
      <c r="D23" s="36">
        <v>42244</v>
      </c>
      <c r="E23" s="25" t="s">
        <v>36</v>
      </c>
      <c r="F23" s="25" t="s">
        <v>37</v>
      </c>
      <c r="G23" s="18">
        <v>86</v>
      </c>
      <c r="H23" s="18">
        <v>35</v>
      </c>
      <c r="I23" s="18">
        <v>17</v>
      </c>
      <c r="J23" s="18">
        <v>18</v>
      </c>
      <c r="K23" s="37">
        <v>1088.74</v>
      </c>
      <c r="L23" s="19">
        <v>637</v>
      </c>
      <c r="M23" s="19">
        <v>451.74</v>
      </c>
      <c r="N23" s="15">
        <v>43027952.159999996</v>
      </c>
      <c r="O23" s="38">
        <v>33847244.700000003</v>
      </c>
      <c r="P23" s="15">
        <v>8721672.0700000003</v>
      </c>
      <c r="Q23" s="15">
        <v>459035.39</v>
      </c>
      <c r="R23" s="16"/>
    </row>
    <row r="24" spans="1:19" ht="26.25" hidden="1" customHeight="1">
      <c r="A24" s="21" t="s">
        <v>45</v>
      </c>
      <c r="B24" s="22" t="s">
        <v>46</v>
      </c>
      <c r="C24" s="23" t="s">
        <v>40</v>
      </c>
      <c r="D24" s="24">
        <v>41288</v>
      </c>
      <c r="E24" s="25" t="s">
        <v>36</v>
      </c>
      <c r="F24" s="25" t="s">
        <v>37</v>
      </c>
      <c r="G24" s="31">
        <v>6</v>
      </c>
      <c r="H24" s="31">
        <v>6</v>
      </c>
      <c r="I24" s="31">
        <v>5</v>
      </c>
      <c r="J24" s="31">
        <v>1</v>
      </c>
      <c r="K24" s="32">
        <v>143.26</v>
      </c>
      <c r="L24" s="32">
        <v>127.96</v>
      </c>
      <c r="M24" s="32">
        <v>15.3</v>
      </c>
      <c r="N24" s="20">
        <v>5447159.8200000003</v>
      </c>
      <c r="O24" s="20">
        <v>4453732.09</v>
      </c>
      <c r="P24" s="15">
        <v>943756.34</v>
      </c>
      <c r="Q24" s="15">
        <v>49671.39</v>
      </c>
      <c r="R24" s="16"/>
    </row>
    <row r="25" spans="1:19" ht="28.5" hidden="1" customHeight="1">
      <c r="A25" s="588" t="s">
        <v>47</v>
      </c>
      <c r="B25" s="589"/>
      <c r="C25" s="12" t="s">
        <v>28</v>
      </c>
      <c r="D25" s="12" t="s">
        <v>28</v>
      </c>
      <c r="E25" s="12" t="s">
        <v>28</v>
      </c>
      <c r="F25" s="12" t="s">
        <v>28</v>
      </c>
      <c r="G25" s="39">
        <f t="shared" ref="G25:Q25" si="4">SUM(G26,G27)</f>
        <v>39</v>
      </c>
      <c r="H25" s="39">
        <f t="shared" si="4"/>
        <v>18</v>
      </c>
      <c r="I25" s="39">
        <f t="shared" si="4"/>
        <v>11</v>
      </c>
      <c r="J25" s="39">
        <f t="shared" si="4"/>
        <v>7</v>
      </c>
      <c r="K25" s="37">
        <f t="shared" si="4"/>
        <v>539.63</v>
      </c>
      <c r="L25" s="37">
        <f t="shared" si="4"/>
        <v>330.73</v>
      </c>
      <c r="M25" s="37">
        <f t="shared" si="4"/>
        <v>208.9</v>
      </c>
      <c r="N25" s="15">
        <f t="shared" si="4"/>
        <v>19003521.079999998</v>
      </c>
      <c r="O25" s="15">
        <f t="shared" si="4"/>
        <v>15322037.779999999</v>
      </c>
      <c r="P25" s="15">
        <f t="shared" si="4"/>
        <v>3497409.14</v>
      </c>
      <c r="Q25" s="15">
        <f t="shared" si="4"/>
        <v>184074.16</v>
      </c>
      <c r="R25" s="16"/>
    </row>
    <row r="26" spans="1:19" ht="28.5" hidden="1" customHeight="1">
      <c r="A26" s="12" t="s">
        <v>48</v>
      </c>
      <c r="B26" s="34" t="s">
        <v>49</v>
      </c>
      <c r="C26" s="35" t="s">
        <v>50</v>
      </c>
      <c r="D26" s="36">
        <v>41904</v>
      </c>
      <c r="E26" s="25" t="s">
        <v>36</v>
      </c>
      <c r="F26" s="25" t="s">
        <v>37</v>
      </c>
      <c r="G26" s="18">
        <v>29</v>
      </c>
      <c r="H26" s="18">
        <v>12</v>
      </c>
      <c r="I26" s="18">
        <v>6</v>
      </c>
      <c r="J26" s="18">
        <v>6</v>
      </c>
      <c r="K26" s="37">
        <v>385.3</v>
      </c>
      <c r="L26" s="19">
        <v>199.2</v>
      </c>
      <c r="M26" s="19">
        <v>186.1</v>
      </c>
      <c r="N26" s="15">
        <v>13429919</v>
      </c>
      <c r="O26" s="38">
        <v>10841352.859999999</v>
      </c>
      <c r="P26" s="15">
        <v>2459137.83</v>
      </c>
      <c r="Q26" s="15">
        <v>129428.31</v>
      </c>
      <c r="R26" s="16"/>
    </row>
    <row r="27" spans="1:19" ht="27.75" hidden="1" customHeight="1">
      <c r="A27" s="40" t="s">
        <v>51</v>
      </c>
      <c r="B27" s="34" t="s">
        <v>52</v>
      </c>
      <c r="C27" s="41" t="s">
        <v>53</v>
      </c>
      <c r="D27" s="36">
        <v>42479</v>
      </c>
      <c r="E27" s="25" t="s">
        <v>36</v>
      </c>
      <c r="F27" s="25" t="s">
        <v>37</v>
      </c>
      <c r="G27" s="18">
        <v>10</v>
      </c>
      <c r="H27" s="18">
        <v>6</v>
      </c>
      <c r="I27" s="18">
        <v>5</v>
      </c>
      <c r="J27" s="18">
        <v>1</v>
      </c>
      <c r="K27" s="19">
        <v>154.33000000000001</v>
      </c>
      <c r="L27" s="19">
        <v>131.53</v>
      </c>
      <c r="M27" s="19">
        <v>22.8</v>
      </c>
      <c r="N27" s="15">
        <v>5573602.0800000001</v>
      </c>
      <c r="O27" s="38">
        <v>4480684.92</v>
      </c>
      <c r="P27" s="15">
        <v>1038271.31</v>
      </c>
      <c r="Q27" s="15">
        <v>54645.85</v>
      </c>
      <c r="R27" s="16"/>
    </row>
    <row r="28" spans="1:19" ht="28.5" hidden="1" customHeight="1">
      <c r="A28" s="590" t="s">
        <v>54</v>
      </c>
      <c r="B28" s="590"/>
      <c r="C28" s="21" t="s">
        <v>28</v>
      </c>
      <c r="D28" s="21" t="s">
        <v>28</v>
      </c>
      <c r="E28" s="21" t="s">
        <v>28</v>
      </c>
      <c r="F28" s="21" t="s">
        <v>28</v>
      </c>
      <c r="G28" s="18">
        <f t="shared" ref="G28:M28" si="5">SUM(G29:G32)</f>
        <v>82</v>
      </c>
      <c r="H28" s="18">
        <f t="shared" si="5"/>
        <v>34</v>
      </c>
      <c r="I28" s="18">
        <f t="shared" si="5"/>
        <v>17</v>
      </c>
      <c r="J28" s="18">
        <f t="shared" si="5"/>
        <v>17</v>
      </c>
      <c r="K28" s="37">
        <f t="shared" si="5"/>
        <v>1119.1000000000001</v>
      </c>
      <c r="L28" s="37">
        <f t="shared" si="5"/>
        <v>637.94000000000005</v>
      </c>
      <c r="M28" s="37">
        <f t="shared" si="5"/>
        <v>481.15999999999997</v>
      </c>
      <c r="N28" s="15">
        <f>SUM(N29:N32)</f>
        <v>42254336.549999997</v>
      </c>
      <c r="O28" s="15">
        <f>SUM(O29:O32)</f>
        <v>34791090.18</v>
      </c>
      <c r="P28" s="15">
        <f>SUM(P29:P32)</f>
        <v>7089134.04</v>
      </c>
      <c r="Q28" s="15">
        <f>SUM(Q29:Q32)</f>
        <v>374112.33</v>
      </c>
      <c r="R28" s="33"/>
    </row>
    <row r="29" spans="1:19" ht="27" hidden="1" customHeight="1">
      <c r="A29" s="40" t="s">
        <v>55</v>
      </c>
      <c r="B29" s="42" t="s">
        <v>56</v>
      </c>
      <c r="C29" s="35">
        <v>67</v>
      </c>
      <c r="D29" s="36">
        <v>41024</v>
      </c>
      <c r="E29" s="25" t="s">
        <v>36</v>
      </c>
      <c r="F29" s="25" t="s">
        <v>37</v>
      </c>
      <c r="G29" s="18">
        <v>7</v>
      </c>
      <c r="H29" s="18">
        <v>4</v>
      </c>
      <c r="I29" s="18">
        <v>3</v>
      </c>
      <c r="J29" s="18">
        <v>1</v>
      </c>
      <c r="K29" s="37">
        <v>206.21</v>
      </c>
      <c r="L29" s="19">
        <v>155.65</v>
      </c>
      <c r="M29" s="19">
        <v>50.56</v>
      </c>
      <c r="N29" s="15">
        <v>7299828.5</v>
      </c>
      <c r="O29" s="38">
        <v>6410750.3399999999</v>
      </c>
      <c r="P29" s="15">
        <v>844624.25</v>
      </c>
      <c r="Q29" s="15">
        <v>44453.91</v>
      </c>
      <c r="R29" s="16"/>
    </row>
    <row r="30" spans="1:19" ht="28.5" hidden="1" customHeight="1">
      <c r="A30" s="21" t="s">
        <v>57</v>
      </c>
      <c r="B30" s="22" t="s">
        <v>58</v>
      </c>
      <c r="C30" s="43" t="s">
        <v>59</v>
      </c>
      <c r="D30" s="24">
        <v>41027</v>
      </c>
      <c r="E30" s="25" t="s">
        <v>36</v>
      </c>
      <c r="F30" s="25" t="s">
        <v>37</v>
      </c>
      <c r="G30" s="31">
        <v>9</v>
      </c>
      <c r="H30" s="31">
        <v>3</v>
      </c>
      <c r="I30" s="31">
        <v>1</v>
      </c>
      <c r="J30" s="31">
        <v>2</v>
      </c>
      <c r="K30" s="32">
        <v>118.5</v>
      </c>
      <c r="L30" s="32">
        <v>40.799999999999997</v>
      </c>
      <c r="M30" s="32">
        <v>77.7</v>
      </c>
      <c r="N30" s="20">
        <v>4152665.06</v>
      </c>
      <c r="O30" s="20">
        <v>3683981.94</v>
      </c>
      <c r="P30" s="15">
        <v>444298.96</v>
      </c>
      <c r="Q30" s="15">
        <v>24384.16</v>
      </c>
      <c r="R30" s="33"/>
    </row>
    <row r="31" spans="1:19" ht="28.5" hidden="1" customHeight="1">
      <c r="A31" s="40" t="s">
        <v>60</v>
      </c>
      <c r="B31" s="22" t="s">
        <v>61</v>
      </c>
      <c r="C31" s="23">
        <v>73</v>
      </c>
      <c r="D31" s="24">
        <v>41027</v>
      </c>
      <c r="E31" s="25" t="s">
        <v>36</v>
      </c>
      <c r="F31" s="25" t="s">
        <v>37</v>
      </c>
      <c r="G31" s="31">
        <v>42</v>
      </c>
      <c r="H31" s="31">
        <v>16</v>
      </c>
      <c r="I31" s="31">
        <v>13</v>
      </c>
      <c r="J31" s="31">
        <v>3</v>
      </c>
      <c r="K31" s="32">
        <v>543.69000000000005</v>
      </c>
      <c r="L31" s="32">
        <v>441.49</v>
      </c>
      <c r="M31" s="32">
        <v>102.2</v>
      </c>
      <c r="N31" s="20">
        <v>19259448.989999998</v>
      </c>
      <c r="O31" s="20">
        <v>16902482.190000001</v>
      </c>
      <c r="P31" s="15">
        <v>2239118.46</v>
      </c>
      <c r="Q31" s="15">
        <v>117848.34</v>
      </c>
      <c r="R31" s="33"/>
    </row>
    <row r="32" spans="1:19" ht="27.75" hidden="1" customHeight="1">
      <c r="A32" s="40" t="s">
        <v>62</v>
      </c>
      <c r="B32" s="42" t="s">
        <v>63</v>
      </c>
      <c r="C32" s="44">
        <v>68</v>
      </c>
      <c r="D32" s="36">
        <v>41027</v>
      </c>
      <c r="E32" s="25" t="s">
        <v>36</v>
      </c>
      <c r="F32" s="25" t="s">
        <v>37</v>
      </c>
      <c r="G32" s="18">
        <v>24</v>
      </c>
      <c r="H32" s="18">
        <v>11</v>
      </c>
      <c r="I32" s="18">
        <v>0</v>
      </c>
      <c r="J32" s="18">
        <v>11</v>
      </c>
      <c r="K32" s="37">
        <v>250.7</v>
      </c>
      <c r="L32" s="19">
        <v>0</v>
      </c>
      <c r="M32" s="19">
        <v>250.7</v>
      </c>
      <c r="N32" s="15">
        <v>11542394</v>
      </c>
      <c r="O32" s="38">
        <v>7793875.71</v>
      </c>
      <c r="P32" s="15">
        <v>3561092.37</v>
      </c>
      <c r="Q32" s="15">
        <v>187425.92000000001</v>
      </c>
      <c r="R32" s="16"/>
    </row>
    <row r="33" spans="1:20" ht="28.5" hidden="1" customHeight="1">
      <c r="A33" s="588" t="s">
        <v>64</v>
      </c>
      <c r="B33" s="589"/>
      <c r="C33" s="12" t="s">
        <v>28</v>
      </c>
      <c r="D33" s="12" t="s">
        <v>28</v>
      </c>
      <c r="E33" s="12" t="s">
        <v>28</v>
      </c>
      <c r="F33" s="12" t="s">
        <v>28</v>
      </c>
      <c r="G33" s="31">
        <f t="shared" ref="G33:M33" si="6">SUM(G34:G38)</f>
        <v>104</v>
      </c>
      <c r="H33" s="31">
        <f t="shared" si="6"/>
        <v>37</v>
      </c>
      <c r="I33" s="31">
        <f t="shared" si="6"/>
        <v>31</v>
      </c>
      <c r="J33" s="31">
        <f t="shared" si="6"/>
        <v>6</v>
      </c>
      <c r="K33" s="32">
        <f t="shared" si="6"/>
        <v>1444.29</v>
      </c>
      <c r="L33" s="32">
        <f t="shared" si="6"/>
        <v>1177.8000000000002</v>
      </c>
      <c r="M33" s="32">
        <f t="shared" si="6"/>
        <v>266.49</v>
      </c>
      <c r="N33" s="38">
        <f>SUM(N34:N38)</f>
        <v>62060601</v>
      </c>
      <c r="O33" s="38">
        <f>SUM(O34:O38)</f>
        <v>44900744.939999998</v>
      </c>
      <c r="P33" s="38">
        <f>SUM(P34:P38)</f>
        <v>8579928.0299999993</v>
      </c>
      <c r="Q33" s="38">
        <f>SUM(Q34:Q38)</f>
        <v>8579928.0299999993</v>
      </c>
      <c r="R33" s="16"/>
    </row>
    <row r="34" spans="1:20" ht="28.5" hidden="1" customHeight="1">
      <c r="A34" s="40" t="s">
        <v>65</v>
      </c>
      <c r="B34" s="22" t="s">
        <v>66</v>
      </c>
      <c r="C34" s="21">
        <v>51</v>
      </c>
      <c r="D34" s="24">
        <v>41206</v>
      </c>
      <c r="E34" s="25" t="s">
        <v>36</v>
      </c>
      <c r="F34" s="25" t="s">
        <v>37</v>
      </c>
      <c r="G34" s="31">
        <v>17</v>
      </c>
      <c r="H34" s="31">
        <v>7</v>
      </c>
      <c r="I34" s="31">
        <v>5</v>
      </c>
      <c r="J34" s="31">
        <v>2</v>
      </c>
      <c r="K34" s="32">
        <v>322.40999999999997</v>
      </c>
      <c r="L34" s="32">
        <v>210.82</v>
      </c>
      <c r="M34" s="32">
        <v>111.59</v>
      </c>
      <c r="N34" s="20">
        <v>13328000</v>
      </c>
      <c r="O34" s="38">
        <v>10023228.84</v>
      </c>
      <c r="P34" s="15">
        <v>1652385.58</v>
      </c>
      <c r="Q34" s="15">
        <v>1652385.58</v>
      </c>
      <c r="R34" s="33"/>
    </row>
    <row r="35" spans="1:20" ht="28.5" hidden="1" customHeight="1">
      <c r="A35" s="12" t="s">
        <v>67</v>
      </c>
      <c r="B35" s="34" t="s">
        <v>68</v>
      </c>
      <c r="C35" s="35">
        <v>3330</v>
      </c>
      <c r="D35" s="36">
        <v>42720</v>
      </c>
      <c r="E35" s="25" t="s">
        <v>36</v>
      </c>
      <c r="F35" s="25" t="s">
        <v>37</v>
      </c>
      <c r="G35" s="18">
        <v>5</v>
      </c>
      <c r="H35" s="18">
        <v>1</v>
      </c>
      <c r="I35" s="18">
        <v>0</v>
      </c>
      <c r="J35" s="18">
        <v>1</v>
      </c>
      <c r="K35" s="19">
        <v>45.79</v>
      </c>
      <c r="L35" s="19">
        <v>0</v>
      </c>
      <c r="M35" s="19">
        <v>45.79</v>
      </c>
      <c r="N35" s="20">
        <v>2151146.83</v>
      </c>
      <c r="O35" s="20">
        <v>1423540.36</v>
      </c>
      <c r="P35" s="15">
        <v>363803.24</v>
      </c>
      <c r="Q35" s="15">
        <v>363803.23</v>
      </c>
      <c r="R35" s="16"/>
    </row>
    <row r="36" spans="1:20" ht="28.5" hidden="1" customHeight="1">
      <c r="A36" s="12" t="s">
        <v>69</v>
      </c>
      <c r="B36" s="34" t="s">
        <v>70</v>
      </c>
      <c r="C36" s="35">
        <v>3330</v>
      </c>
      <c r="D36" s="36">
        <v>42720</v>
      </c>
      <c r="E36" s="25" t="s">
        <v>36</v>
      </c>
      <c r="F36" s="25" t="s">
        <v>37</v>
      </c>
      <c r="G36" s="39">
        <v>36</v>
      </c>
      <c r="H36" s="18">
        <v>12</v>
      </c>
      <c r="I36" s="18">
        <v>11</v>
      </c>
      <c r="J36" s="18">
        <v>1</v>
      </c>
      <c r="K36" s="37">
        <v>436.08</v>
      </c>
      <c r="L36" s="37">
        <v>399.38</v>
      </c>
      <c r="M36" s="37">
        <v>36.700000000000003</v>
      </c>
      <c r="N36" s="15">
        <v>18903500</v>
      </c>
      <c r="O36" s="38">
        <v>13557053.539999999</v>
      </c>
      <c r="P36" s="15">
        <v>2673223.23</v>
      </c>
      <c r="Q36" s="15">
        <v>2673223.23</v>
      </c>
      <c r="R36" s="16"/>
    </row>
    <row r="37" spans="1:20" ht="28.5" hidden="1" customHeight="1">
      <c r="A37" s="12" t="s">
        <v>71</v>
      </c>
      <c r="B37" s="34" t="s">
        <v>72</v>
      </c>
      <c r="C37" s="35">
        <v>3330</v>
      </c>
      <c r="D37" s="36">
        <v>42720</v>
      </c>
      <c r="E37" s="25" t="s">
        <v>36</v>
      </c>
      <c r="F37" s="25" t="s">
        <v>37</v>
      </c>
      <c r="G37" s="18">
        <v>32</v>
      </c>
      <c r="H37" s="18">
        <v>12</v>
      </c>
      <c r="I37" s="18">
        <v>10</v>
      </c>
      <c r="J37" s="18">
        <v>2</v>
      </c>
      <c r="K37" s="37">
        <v>397.65</v>
      </c>
      <c r="L37" s="19">
        <v>325.24</v>
      </c>
      <c r="M37" s="19">
        <v>72.41</v>
      </c>
      <c r="N37" s="15">
        <v>17517500</v>
      </c>
      <c r="O37" s="38">
        <v>12362324.199999999</v>
      </c>
      <c r="P37" s="15">
        <v>2577587.9</v>
      </c>
      <c r="Q37" s="15">
        <v>2577587.9</v>
      </c>
      <c r="R37" s="16"/>
    </row>
    <row r="38" spans="1:20" ht="28.5" hidden="1" customHeight="1">
      <c r="A38" s="12" t="s">
        <v>73</v>
      </c>
      <c r="B38" s="34" t="s">
        <v>74</v>
      </c>
      <c r="C38" s="35">
        <v>3330</v>
      </c>
      <c r="D38" s="36">
        <v>42720</v>
      </c>
      <c r="E38" s="25" t="s">
        <v>36</v>
      </c>
      <c r="F38" s="25" t="s">
        <v>37</v>
      </c>
      <c r="G38" s="18">
        <v>14</v>
      </c>
      <c r="H38" s="18">
        <v>5</v>
      </c>
      <c r="I38" s="18">
        <v>5</v>
      </c>
      <c r="J38" s="18">
        <v>0</v>
      </c>
      <c r="K38" s="19">
        <v>242.36</v>
      </c>
      <c r="L38" s="19">
        <v>242.36</v>
      </c>
      <c r="M38" s="19">
        <v>0</v>
      </c>
      <c r="N38" s="20">
        <v>10160454.17</v>
      </c>
      <c r="O38" s="20">
        <v>7534598</v>
      </c>
      <c r="P38" s="15">
        <v>1312928.08</v>
      </c>
      <c r="Q38" s="15">
        <v>1312928.0900000001</v>
      </c>
      <c r="R38" s="16"/>
    </row>
    <row r="39" spans="1:20" ht="26.25" hidden="1" customHeight="1">
      <c r="A39" s="590" t="s">
        <v>75</v>
      </c>
      <c r="B39" s="590"/>
      <c r="C39" s="21" t="s">
        <v>28</v>
      </c>
      <c r="D39" s="21" t="s">
        <v>28</v>
      </c>
      <c r="E39" s="21" t="s">
        <v>28</v>
      </c>
      <c r="F39" s="21" t="s">
        <v>28</v>
      </c>
      <c r="G39" s="18">
        <f t="shared" ref="G39:M39" si="7">G41</f>
        <v>1</v>
      </c>
      <c r="H39" s="18">
        <f t="shared" si="7"/>
        <v>1</v>
      </c>
      <c r="I39" s="18">
        <f t="shared" si="7"/>
        <v>0</v>
      </c>
      <c r="J39" s="18">
        <f t="shared" si="7"/>
        <v>1</v>
      </c>
      <c r="K39" s="19">
        <f t="shared" si="7"/>
        <v>20.9</v>
      </c>
      <c r="L39" s="19">
        <f t="shared" si="7"/>
        <v>0</v>
      </c>
      <c r="M39" s="19">
        <f t="shared" si="7"/>
        <v>20.9</v>
      </c>
      <c r="N39" s="19">
        <v>0</v>
      </c>
      <c r="O39" s="19">
        <v>0</v>
      </c>
      <c r="P39" s="19">
        <v>0</v>
      </c>
      <c r="Q39" s="19">
        <v>0</v>
      </c>
      <c r="R39" s="595" t="s">
        <v>76</v>
      </c>
    </row>
    <row r="40" spans="1:20" ht="28.5" hidden="1" customHeight="1">
      <c r="A40" s="590" t="s">
        <v>47</v>
      </c>
      <c r="B40" s="590"/>
      <c r="C40" s="21" t="s">
        <v>28</v>
      </c>
      <c r="D40" s="21" t="s">
        <v>28</v>
      </c>
      <c r="E40" s="21" t="s">
        <v>28</v>
      </c>
      <c r="F40" s="12" t="s">
        <v>28</v>
      </c>
      <c r="G40" s="26">
        <f t="shared" ref="G40:Q40" si="8">G41</f>
        <v>1</v>
      </c>
      <c r="H40" s="26">
        <f t="shared" si="8"/>
        <v>1</v>
      </c>
      <c r="I40" s="26">
        <f t="shared" si="8"/>
        <v>0</v>
      </c>
      <c r="J40" s="26">
        <f t="shared" si="8"/>
        <v>1</v>
      </c>
      <c r="K40" s="27">
        <f t="shared" si="8"/>
        <v>20.9</v>
      </c>
      <c r="L40" s="27">
        <f t="shared" si="8"/>
        <v>0</v>
      </c>
      <c r="M40" s="27">
        <f t="shared" si="8"/>
        <v>20.9</v>
      </c>
      <c r="N40" s="27">
        <f t="shared" si="8"/>
        <v>0</v>
      </c>
      <c r="O40" s="27">
        <f t="shared" si="8"/>
        <v>0</v>
      </c>
      <c r="P40" s="27">
        <f t="shared" si="8"/>
        <v>0</v>
      </c>
      <c r="Q40" s="27">
        <f t="shared" si="8"/>
        <v>0</v>
      </c>
      <c r="R40" s="596"/>
    </row>
    <row r="41" spans="1:20" ht="27" hidden="1" customHeight="1">
      <c r="A41" s="12" t="s">
        <v>77</v>
      </c>
      <c r="B41" s="34" t="s">
        <v>52</v>
      </c>
      <c r="C41" s="41" t="s">
        <v>53</v>
      </c>
      <c r="D41" s="36">
        <v>42479</v>
      </c>
      <c r="E41" s="25" t="s">
        <v>36</v>
      </c>
      <c r="F41" s="25" t="s">
        <v>37</v>
      </c>
      <c r="G41" s="18">
        <v>1</v>
      </c>
      <c r="H41" s="18">
        <v>1</v>
      </c>
      <c r="I41" s="18">
        <v>0</v>
      </c>
      <c r="J41" s="18">
        <v>1</v>
      </c>
      <c r="K41" s="19">
        <v>20.9</v>
      </c>
      <c r="L41" s="19">
        <v>0</v>
      </c>
      <c r="M41" s="19">
        <v>20.9</v>
      </c>
      <c r="N41" s="15">
        <v>0</v>
      </c>
      <c r="O41" s="38">
        <v>0</v>
      </c>
      <c r="P41" s="15">
        <v>0</v>
      </c>
      <c r="Q41" s="15">
        <v>0</v>
      </c>
      <c r="R41" s="597"/>
    </row>
    <row r="42" spans="1:20" ht="14.25" hidden="1" customHeight="1">
      <c r="A42" s="593" t="s">
        <v>78</v>
      </c>
      <c r="B42" s="593"/>
      <c r="C42" s="23" t="s">
        <v>79</v>
      </c>
      <c r="D42" s="24" t="s">
        <v>79</v>
      </c>
      <c r="E42" s="45" t="s">
        <v>79</v>
      </c>
      <c r="F42" s="45" t="s">
        <v>79</v>
      </c>
      <c r="G42" s="26">
        <f t="shared" ref="G42:Q42" si="9">SUM(G43,G63)</f>
        <v>128</v>
      </c>
      <c r="H42" s="26">
        <f t="shared" si="9"/>
        <v>58</v>
      </c>
      <c r="I42" s="26">
        <f t="shared" si="9"/>
        <v>30</v>
      </c>
      <c r="J42" s="26">
        <f t="shared" si="9"/>
        <v>28</v>
      </c>
      <c r="K42" s="27">
        <f t="shared" si="9"/>
        <v>2170.69</v>
      </c>
      <c r="L42" s="27">
        <f t="shared" si="9"/>
        <v>1233.5099999999998</v>
      </c>
      <c r="M42" s="27">
        <f t="shared" si="9"/>
        <v>937.18000000000006</v>
      </c>
      <c r="N42" s="28">
        <f t="shared" si="9"/>
        <v>74592922.75999999</v>
      </c>
      <c r="O42" s="28">
        <f t="shared" si="9"/>
        <v>0</v>
      </c>
      <c r="P42" s="28">
        <f t="shared" si="9"/>
        <v>70863276.620000005</v>
      </c>
      <c r="Q42" s="28">
        <f t="shared" si="9"/>
        <v>3729646.1399999997</v>
      </c>
      <c r="R42" s="46"/>
      <c r="S42" s="47"/>
    </row>
    <row r="43" spans="1:20" ht="28.5" customHeight="1">
      <c r="A43" s="593" t="s">
        <v>80</v>
      </c>
      <c r="B43" s="593"/>
      <c r="C43" s="23" t="s">
        <v>79</v>
      </c>
      <c r="D43" s="24" t="s">
        <v>79</v>
      </c>
      <c r="E43" s="45" t="s">
        <v>79</v>
      </c>
      <c r="F43" s="45" t="s">
        <v>79</v>
      </c>
      <c r="G43" s="26"/>
      <c r="H43" s="26"/>
      <c r="I43" s="26"/>
      <c r="J43" s="26"/>
      <c r="K43" s="27"/>
      <c r="L43" s="27"/>
      <c r="M43" s="27"/>
      <c r="N43" s="28"/>
      <c r="O43" s="28"/>
      <c r="P43" s="28"/>
      <c r="Q43" s="28"/>
      <c r="R43" s="46"/>
      <c r="S43" s="47"/>
      <c r="T43" s="3" t="e">
        <f>O43/N43</f>
        <v>#DIV/0!</v>
      </c>
    </row>
    <row r="44" spans="1:20" ht="28.5" hidden="1" customHeight="1">
      <c r="A44" s="590" t="s">
        <v>81</v>
      </c>
      <c r="B44" s="590"/>
      <c r="C44" s="21" t="s">
        <v>28</v>
      </c>
      <c r="D44" s="21" t="s">
        <v>28</v>
      </c>
      <c r="E44" s="21" t="s">
        <v>28</v>
      </c>
      <c r="F44" s="21" t="s">
        <v>28</v>
      </c>
      <c r="G44" s="26">
        <f t="shared" ref="G44:Q44" si="10">SUM(G45,G46)</f>
        <v>23</v>
      </c>
      <c r="H44" s="26">
        <f t="shared" si="10"/>
        <v>10</v>
      </c>
      <c r="I44" s="26">
        <f t="shared" si="10"/>
        <v>4</v>
      </c>
      <c r="J44" s="26">
        <f t="shared" si="10"/>
        <v>6</v>
      </c>
      <c r="K44" s="27">
        <f t="shared" si="10"/>
        <v>295.87</v>
      </c>
      <c r="L44" s="27">
        <f t="shared" si="10"/>
        <v>98.92</v>
      </c>
      <c r="M44" s="27">
        <f t="shared" si="10"/>
        <v>196.95</v>
      </c>
      <c r="N44" s="28">
        <f t="shared" si="10"/>
        <v>12529260</v>
      </c>
      <c r="O44" s="28">
        <f t="shared" si="10"/>
        <v>5984073.25</v>
      </c>
      <c r="P44" s="28">
        <f t="shared" si="10"/>
        <v>6217927.4100000001</v>
      </c>
      <c r="Q44" s="28">
        <f t="shared" si="10"/>
        <v>327259.33999999997</v>
      </c>
      <c r="R44" s="48"/>
      <c r="S44" s="49"/>
    </row>
    <row r="45" spans="1:20" ht="28.5" hidden="1" customHeight="1">
      <c r="A45" s="40" t="s">
        <v>82</v>
      </c>
      <c r="B45" s="22" t="s">
        <v>83</v>
      </c>
      <c r="C45" s="21">
        <v>2</v>
      </c>
      <c r="D45" s="24">
        <v>41690</v>
      </c>
      <c r="E45" s="45" t="s">
        <v>37</v>
      </c>
      <c r="F45" s="45" t="s">
        <v>84</v>
      </c>
      <c r="G45" s="26">
        <v>13</v>
      </c>
      <c r="H45" s="26">
        <v>4</v>
      </c>
      <c r="I45" s="26">
        <v>0</v>
      </c>
      <c r="J45" s="26">
        <v>4</v>
      </c>
      <c r="K45" s="27">
        <v>149</v>
      </c>
      <c r="L45" s="27">
        <v>0</v>
      </c>
      <c r="M45" s="27">
        <v>149</v>
      </c>
      <c r="N45" s="28">
        <v>5740356</v>
      </c>
      <c r="O45" s="28">
        <v>3013576.62</v>
      </c>
      <c r="P45" s="29">
        <v>2590440.41</v>
      </c>
      <c r="Q45" s="29">
        <v>136338.97</v>
      </c>
      <c r="R45" s="33"/>
    </row>
    <row r="46" spans="1:20" ht="28.5" hidden="1" customHeight="1">
      <c r="A46" s="40" t="s">
        <v>85</v>
      </c>
      <c r="B46" s="22" t="s">
        <v>86</v>
      </c>
      <c r="C46" s="21">
        <v>17</v>
      </c>
      <c r="D46" s="24">
        <v>41260</v>
      </c>
      <c r="E46" s="45" t="s">
        <v>37</v>
      </c>
      <c r="F46" s="45" t="s">
        <v>84</v>
      </c>
      <c r="G46" s="26">
        <v>10</v>
      </c>
      <c r="H46" s="26">
        <v>6</v>
      </c>
      <c r="I46" s="26">
        <v>4</v>
      </c>
      <c r="J46" s="26">
        <v>2</v>
      </c>
      <c r="K46" s="27">
        <v>146.87</v>
      </c>
      <c r="L46" s="27">
        <v>98.92</v>
      </c>
      <c r="M46" s="27">
        <v>47.95</v>
      </c>
      <c r="N46" s="28">
        <v>6788904</v>
      </c>
      <c r="O46" s="28">
        <v>2970496.63</v>
      </c>
      <c r="P46" s="29">
        <v>3627487</v>
      </c>
      <c r="Q46" s="29">
        <v>190920.37</v>
      </c>
      <c r="R46" s="33"/>
    </row>
    <row r="47" spans="1:20" ht="28.5" hidden="1" customHeight="1">
      <c r="A47" s="590" t="s">
        <v>87</v>
      </c>
      <c r="B47" s="590"/>
      <c r="C47" s="21" t="s">
        <v>28</v>
      </c>
      <c r="D47" s="21" t="s">
        <v>28</v>
      </c>
      <c r="E47" s="21" t="s">
        <v>28</v>
      </c>
      <c r="F47" s="12" t="s">
        <v>28</v>
      </c>
      <c r="G47" s="26">
        <f t="shared" ref="G47:Q47" si="11">SUM(G48:G49)</f>
        <v>9</v>
      </c>
      <c r="H47" s="26">
        <f t="shared" si="11"/>
        <v>5</v>
      </c>
      <c r="I47" s="26">
        <f t="shared" si="11"/>
        <v>4</v>
      </c>
      <c r="J47" s="26">
        <f t="shared" si="11"/>
        <v>1</v>
      </c>
      <c r="K47" s="27">
        <f t="shared" si="11"/>
        <v>163.6</v>
      </c>
      <c r="L47" s="27">
        <f t="shared" si="11"/>
        <v>135.80000000000001</v>
      </c>
      <c r="M47" s="27">
        <f t="shared" si="11"/>
        <v>27.799999999999997</v>
      </c>
      <c r="N47" s="28">
        <f t="shared" si="11"/>
        <v>5719972.4000000004</v>
      </c>
      <c r="O47" s="28">
        <f t="shared" si="11"/>
        <v>3308866.6799999997</v>
      </c>
      <c r="P47" s="28">
        <f t="shared" si="11"/>
        <v>2290550.44</v>
      </c>
      <c r="Q47" s="28">
        <f t="shared" si="11"/>
        <v>120555.28</v>
      </c>
      <c r="R47" s="33"/>
      <c r="S47" s="49"/>
    </row>
    <row r="48" spans="1:20" ht="28.5" hidden="1" customHeight="1">
      <c r="A48" s="40" t="s">
        <v>88</v>
      </c>
      <c r="B48" s="22" t="s">
        <v>89</v>
      </c>
      <c r="C48" s="43" t="s">
        <v>90</v>
      </c>
      <c r="D48" s="24">
        <v>41085</v>
      </c>
      <c r="E48" s="25" t="s">
        <v>37</v>
      </c>
      <c r="F48" s="25" t="s">
        <v>84</v>
      </c>
      <c r="G48" s="26">
        <v>4</v>
      </c>
      <c r="H48" s="26">
        <v>2</v>
      </c>
      <c r="I48" s="26">
        <v>2</v>
      </c>
      <c r="J48" s="26">
        <v>0</v>
      </c>
      <c r="K48" s="27">
        <v>64</v>
      </c>
      <c r="L48" s="27">
        <v>64</v>
      </c>
      <c r="M48" s="27">
        <v>0</v>
      </c>
      <c r="N48" s="28">
        <v>2092672</v>
      </c>
      <c r="O48" s="28">
        <v>1294422.17</v>
      </c>
      <c r="P48" s="29">
        <v>758337.34</v>
      </c>
      <c r="Q48" s="29">
        <v>39912.49</v>
      </c>
      <c r="R48" s="33"/>
    </row>
    <row r="49" spans="1:19" ht="28.5" hidden="1" customHeight="1">
      <c r="A49" s="40" t="s">
        <v>91</v>
      </c>
      <c r="B49" s="22" t="s">
        <v>92</v>
      </c>
      <c r="C49" s="43" t="s">
        <v>93</v>
      </c>
      <c r="D49" s="24">
        <v>41085</v>
      </c>
      <c r="E49" s="25" t="s">
        <v>37</v>
      </c>
      <c r="F49" s="25" t="s">
        <v>84</v>
      </c>
      <c r="G49" s="26">
        <v>5</v>
      </c>
      <c r="H49" s="26">
        <v>3</v>
      </c>
      <c r="I49" s="26">
        <v>2</v>
      </c>
      <c r="J49" s="26">
        <v>1</v>
      </c>
      <c r="K49" s="27">
        <v>99.6</v>
      </c>
      <c r="L49" s="27">
        <v>71.8</v>
      </c>
      <c r="M49" s="27">
        <f>K49-L49</f>
        <v>27.799999999999997</v>
      </c>
      <c r="N49" s="28">
        <v>3627300.4</v>
      </c>
      <c r="O49" s="28">
        <v>2014444.51</v>
      </c>
      <c r="P49" s="29">
        <v>1532213.1</v>
      </c>
      <c r="Q49" s="29">
        <v>80642.789999999994</v>
      </c>
      <c r="R49" s="33"/>
    </row>
    <row r="50" spans="1:19" ht="28.5" customHeight="1">
      <c r="A50" s="594" t="s">
        <v>94</v>
      </c>
      <c r="B50" s="594"/>
      <c r="C50" s="50" t="s">
        <v>28</v>
      </c>
      <c r="D50" s="50" t="s">
        <v>28</v>
      </c>
      <c r="E50" s="50" t="s">
        <v>28</v>
      </c>
      <c r="F50" s="50" t="s">
        <v>28</v>
      </c>
      <c r="G50" s="51">
        <f t="shared" ref="G50:Q50" si="12">SUM(G51:G53)</f>
        <v>96</v>
      </c>
      <c r="H50" s="51">
        <f t="shared" si="12"/>
        <v>42</v>
      </c>
      <c r="I50" s="51">
        <f t="shared" si="12"/>
        <v>19</v>
      </c>
      <c r="J50" s="51">
        <f t="shared" si="12"/>
        <v>23</v>
      </c>
      <c r="K50" s="52">
        <f t="shared" si="12"/>
        <v>1019.33</v>
      </c>
      <c r="L50" s="52">
        <f t="shared" si="12"/>
        <v>479.49</v>
      </c>
      <c r="M50" s="52">
        <f t="shared" si="12"/>
        <v>539.83999999999992</v>
      </c>
      <c r="N50" s="53">
        <f t="shared" si="12"/>
        <v>53136308.57</v>
      </c>
      <c r="O50" s="53">
        <f t="shared" si="12"/>
        <v>20616302.400000002</v>
      </c>
      <c r="P50" s="53">
        <f t="shared" si="12"/>
        <v>26016004.940000001</v>
      </c>
      <c r="Q50" s="53">
        <f t="shared" si="12"/>
        <v>6504001.2300000004</v>
      </c>
      <c r="R50" s="16"/>
      <c r="S50" s="49"/>
    </row>
    <row r="51" spans="1:19" ht="28.5" customHeight="1">
      <c r="A51" s="40" t="s">
        <v>95</v>
      </c>
      <c r="B51" s="22" t="s">
        <v>96</v>
      </c>
      <c r="C51" s="23" t="s">
        <v>97</v>
      </c>
      <c r="D51" s="24">
        <v>41123</v>
      </c>
      <c r="E51" s="45" t="s">
        <v>37</v>
      </c>
      <c r="F51" s="45" t="s">
        <v>84</v>
      </c>
      <c r="G51" s="26">
        <v>32</v>
      </c>
      <c r="H51" s="26">
        <v>15</v>
      </c>
      <c r="I51" s="26">
        <v>13</v>
      </c>
      <c r="J51" s="26">
        <v>2</v>
      </c>
      <c r="K51" s="27">
        <v>427.6</v>
      </c>
      <c r="L51" s="27">
        <v>318.37</v>
      </c>
      <c r="M51" s="27">
        <v>109.23</v>
      </c>
      <c r="N51" s="28">
        <v>20524800</v>
      </c>
      <c r="O51" s="28">
        <v>8648358.1400000006</v>
      </c>
      <c r="P51" s="29">
        <v>9501153.4900000002</v>
      </c>
      <c r="Q51" s="29">
        <v>2375288.37</v>
      </c>
      <c r="R51" s="33"/>
      <c r="S51" s="54"/>
    </row>
    <row r="52" spans="1:19" ht="28.5" customHeight="1">
      <c r="A52" s="40" t="s">
        <v>98</v>
      </c>
      <c r="B52" s="22" t="s">
        <v>99</v>
      </c>
      <c r="C52" s="43" t="s">
        <v>100</v>
      </c>
      <c r="D52" s="24">
        <v>41297</v>
      </c>
      <c r="E52" s="45" t="s">
        <v>37</v>
      </c>
      <c r="F52" s="45" t="s">
        <v>84</v>
      </c>
      <c r="G52" s="26">
        <v>24</v>
      </c>
      <c r="H52" s="26">
        <v>8</v>
      </c>
      <c r="I52" s="26">
        <v>2</v>
      </c>
      <c r="J52" s="26">
        <v>6</v>
      </c>
      <c r="K52" s="27">
        <v>244.33</v>
      </c>
      <c r="L52" s="27">
        <v>90.92</v>
      </c>
      <c r="M52" s="27">
        <v>153.41</v>
      </c>
      <c r="N52" s="28">
        <v>11727840</v>
      </c>
      <c r="O52" s="28">
        <v>4941658.9000000004</v>
      </c>
      <c r="P52" s="29">
        <v>5428944.8799999999</v>
      </c>
      <c r="Q52" s="29">
        <v>1357236.22</v>
      </c>
      <c r="R52" s="33"/>
      <c r="S52" s="54"/>
    </row>
    <row r="53" spans="1:19" ht="28.5" customHeight="1">
      <c r="A53" s="40" t="s">
        <v>101</v>
      </c>
      <c r="B53" s="22" t="s">
        <v>102</v>
      </c>
      <c r="C53" s="43" t="s">
        <v>103</v>
      </c>
      <c r="D53" s="24">
        <v>41565</v>
      </c>
      <c r="E53" s="45" t="s">
        <v>37</v>
      </c>
      <c r="F53" s="45" t="s">
        <v>84</v>
      </c>
      <c r="G53" s="26">
        <v>40</v>
      </c>
      <c r="H53" s="26">
        <v>19</v>
      </c>
      <c r="I53" s="26">
        <v>4</v>
      </c>
      <c r="J53" s="26">
        <v>15</v>
      </c>
      <c r="K53" s="27">
        <v>347.4</v>
      </c>
      <c r="L53" s="14">
        <v>70.2</v>
      </c>
      <c r="M53" s="14">
        <v>277.2</v>
      </c>
      <c r="N53" s="28">
        <v>20883668.57</v>
      </c>
      <c r="O53" s="28">
        <v>7026285.3600000003</v>
      </c>
      <c r="P53" s="29">
        <v>11085906.57</v>
      </c>
      <c r="Q53" s="29">
        <v>2771476.64</v>
      </c>
      <c r="R53" s="33"/>
    </row>
    <row r="54" spans="1:19" ht="28.5" hidden="1" customHeight="1">
      <c r="A54" s="590" t="s">
        <v>104</v>
      </c>
      <c r="B54" s="590"/>
      <c r="C54" s="21" t="s">
        <v>28</v>
      </c>
      <c r="D54" s="21" t="s">
        <v>28</v>
      </c>
      <c r="E54" s="21" t="s">
        <v>28</v>
      </c>
      <c r="F54" s="21" t="s">
        <v>28</v>
      </c>
      <c r="G54" s="26">
        <f t="shared" ref="G54:M54" si="13">SUM(G55:G59)</f>
        <v>127</v>
      </c>
      <c r="H54" s="26">
        <f t="shared" si="13"/>
        <v>59</v>
      </c>
      <c r="I54" s="26">
        <f t="shared" si="13"/>
        <v>55</v>
      </c>
      <c r="J54" s="26">
        <f t="shared" si="13"/>
        <v>4</v>
      </c>
      <c r="K54" s="27">
        <f t="shared" si="13"/>
        <v>2067.7400000000002</v>
      </c>
      <c r="L54" s="27">
        <f t="shared" si="13"/>
        <v>1945.32</v>
      </c>
      <c r="M54" s="27">
        <f t="shared" si="13"/>
        <v>122.42</v>
      </c>
      <c r="N54" s="28">
        <v>99251519.999999985</v>
      </c>
      <c r="O54" s="28">
        <v>41820757.869999997</v>
      </c>
      <c r="P54" s="29">
        <v>45944609.700000003</v>
      </c>
      <c r="Q54" s="29">
        <v>11486152.43</v>
      </c>
      <c r="R54" s="33"/>
      <c r="S54" s="49"/>
    </row>
    <row r="55" spans="1:19" ht="28.5" hidden="1" customHeight="1">
      <c r="A55" s="40" t="s">
        <v>105</v>
      </c>
      <c r="B55" s="22" t="s">
        <v>106</v>
      </c>
      <c r="C55" s="55" t="s">
        <v>107</v>
      </c>
      <c r="D55" s="36">
        <v>42635</v>
      </c>
      <c r="E55" s="45" t="s">
        <v>37</v>
      </c>
      <c r="F55" s="45" t="s">
        <v>84</v>
      </c>
      <c r="G55" s="26">
        <v>25</v>
      </c>
      <c r="H55" s="26">
        <v>11</v>
      </c>
      <c r="I55" s="26">
        <v>11</v>
      </c>
      <c r="J55" s="26">
        <v>0</v>
      </c>
      <c r="K55" s="27">
        <v>349.8</v>
      </c>
      <c r="L55" s="27">
        <v>349.8</v>
      </c>
      <c r="M55" s="27">
        <v>0</v>
      </c>
      <c r="N55" s="28">
        <v>16790400</v>
      </c>
      <c r="O55" s="28">
        <v>7074826.1900000004</v>
      </c>
      <c r="P55" s="29">
        <v>7772459.0499999998</v>
      </c>
      <c r="Q55" s="29">
        <v>1943114.76</v>
      </c>
      <c r="R55" s="33"/>
    </row>
    <row r="56" spans="1:19" ht="28.5" hidden="1" customHeight="1">
      <c r="A56" s="40" t="s">
        <v>108</v>
      </c>
      <c r="B56" s="22" t="s">
        <v>109</v>
      </c>
      <c r="C56" s="55" t="s">
        <v>107</v>
      </c>
      <c r="D56" s="36">
        <v>42635</v>
      </c>
      <c r="E56" s="45" t="s">
        <v>37</v>
      </c>
      <c r="F56" s="45" t="s">
        <v>84</v>
      </c>
      <c r="G56" s="26">
        <v>21</v>
      </c>
      <c r="H56" s="26">
        <v>12</v>
      </c>
      <c r="I56" s="26">
        <v>11</v>
      </c>
      <c r="J56" s="26">
        <v>1</v>
      </c>
      <c r="K56" s="27">
        <v>392.7</v>
      </c>
      <c r="L56" s="27">
        <v>366.9</v>
      </c>
      <c r="M56" s="27">
        <v>25.8</v>
      </c>
      <c r="N56" s="28">
        <v>18849600</v>
      </c>
      <c r="O56" s="28">
        <v>7942493.5499999998</v>
      </c>
      <c r="P56" s="29">
        <v>8725685.1600000001</v>
      </c>
      <c r="Q56" s="29">
        <v>2181421.29</v>
      </c>
      <c r="R56" s="33"/>
    </row>
    <row r="57" spans="1:19" ht="28.5" hidden="1" customHeight="1">
      <c r="A57" s="40" t="s">
        <v>110</v>
      </c>
      <c r="B57" s="34" t="s">
        <v>111</v>
      </c>
      <c r="C57" s="55" t="s">
        <v>107</v>
      </c>
      <c r="D57" s="36">
        <v>42635</v>
      </c>
      <c r="E57" s="45" t="s">
        <v>37</v>
      </c>
      <c r="F57" s="45" t="s">
        <v>84</v>
      </c>
      <c r="G57" s="13">
        <v>36</v>
      </c>
      <c r="H57" s="13">
        <v>16</v>
      </c>
      <c r="I57" s="13">
        <v>16</v>
      </c>
      <c r="J57" s="13">
        <v>0</v>
      </c>
      <c r="K57" s="56">
        <v>638.29</v>
      </c>
      <c r="L57" s="14">
        <v>638.29</v>
      </c>
      <c r="M57" s="14">
        <v>0</v>
      </c>
      <c r="N57" s="28">
        <v>30637920</v>
      </c>
      <c r="O57" s="28">
        <v>12909636.380000001</v>
      </c>
      <c r="P57" s="29">
        <v>14182626.890000001</v>
      </c>
      <c r="Q57" s="29">
        <v>3545656.73</v>
      </c>
      <c r="R57" s="16"/>
    </row>
    <row r="58" spans="1:19" ht="28.5" hidden="1" customHeight="1">
      <c r="A58" s="40" t="s">
        <v>112</v>
      </c>
      <c r="B58" s="22" t="s">
        <v>113</v>
      </c>
      <c r="C58" s="55" t="s">
        <v>107</v>
      </c>
      <c r="D58" s="36">
        <v>42635</v>
      </c>
      <c r="E58" s="25" t="s">
        <v>37</v>
      </c>
      <c r="F58" s="45" t="s">
        <v>84</v>
      </c>
      <c r="G58" s="26">
        <v>27</v>
      </c>
      <c r="H58" s="26">
        <v>12</v>
      </c>
      <c r="I58" s="26">
        <v>12</v>
      </c>
      <c r="J58" s="26">
        <v>0</v>
      </c>
      <c r="K58" s="27">
        <v>381.4</v>
      </c>
      <c r="L58" s="27">
        <v>381.4</v>
      </c>
      <c r="M58" s="27">
        <v>0</v>
      </c>
      <c r="N58" s="28">
        <v>18307200</v>
      </c>
      <c r="O58" s="28">
        <v>7713947.1399999997</v>
      </c>
      <c r="P58" s="29">
        <v>8474602.2899999991</v>
      </c>
      <c r="Q58" s="29">
        <v>2118650.5699999998</v>
      </c>
      <c r="R58" s="33"/>
    </row>
    <row r="59" spans="1:19" ht="28.5" hidden="1" customHeight="1">
      <c r="A59" s="12" t="s">
        <v>114</v>
      </c>
      <c r="B59" s="34" t="s">
        <v>115</v>
      </c>
      <c r="C59" s="35">
        <v>1</v>
      </c>
      <c r="D59" s="36">
        <v>41017</v>
      </c>
      <c r="E59" s="45" t="s">
        <v>37</v>
      </c>
      <c r="F59" s="45" t="s">
        <v>84</v>
      </c>
      <c r="G59" s="13">
        <v>18</v>
      </c>
      <c r="H59" s="13">
        <v>8</v>
      </c>
      <c r="I59" s="26">
        <v>5</v>
      </c>
      <c r="J59" s="26">
        <v>3</v>
      </c>
      <c r="K59" s="56">
        <v>305.55</v>
      </c>
      <c r="L59" s="14">
        <v>208.93</v>
      </c>
      <c r="M59" s="14">
        <v>96.62</v>
      </c>
      <c r="N59" s="28">
        <v>14666400</v>
      </c>
      <c r="O59" s="28">
        <v>6179854.6100000003</v>
      </c>
      <c r="P59" s="29">
        <v>6789236.3099999996</v>
      </c>
      <c r="Q59" s="29">
        <v>1697309.08</v>
      </c>
      <c r="R59" s="16"/>
    </row>
    <row r="60" spans="1:19" ht="28.5" hidden="1" customHeight="1">
      <c r="A60" s="591" t="s">
        <v>116</v>
      </c>
      <c r="B60" s="592"/>
      <c r="C60" s="21" t="s">
        <v>28</v>
      </c>
      <c r="D60" s="21" t="s">
        <v>28</v>
      </c>
      <c r="E60" s="21" t="s">
        <v>28</v>
      </c>
      <c r="F60" s="21" t="s">
        <v>28</v>
      </c>
      <c r="G60" s="57">
        <f t="shared" ref="G60:Q60" si="14">SUM(G61:G62)</f>
        <v>128</v>
      </c>
      <c r="H60" s="57">
        <f t="shared" si="14"/>
        <v>53</v>
      </c>
      <c r="I60" s="57">
        <f t="shared" si="14"/>
        <v>45</v>
      </c>
      <c r="J60" s="57">
        <f t="shared" si="14"/>
        <v>8</v>
      </c>
      <c r="K60" s="56">
        <f t="shared" si="14"/>
        <v>2503.87</v>
      </c>
      <c r="L60" s="56">
        <f t="shared" si="14"/>
        <v>2007.32</v>
      </c>
      <c r="M60" s="56">
        <f t="shared" si="14"/>
        <v>496.55</v>
      </c>
      <c r="N60" s="28">
        <f t="shared" si="14"/>
        <v>120185760</v>
      </c>
      <c r="O60" s="28">
        <f t="shared" si="14"/>
        <v>50491768.390000001</v>
      </c>
      <c r="P60" s="28">
        <f t="shared" si="14"/>
        <v>34846995.810000002</v>
      </c>
      <c r="Q60" s="28">
        <f t="shared" si="14"/>
        <v>34846995.799999997</v>
      </c>
      <c r="R60" s="33"/>
      <c r="S60" s="49">
        <f>O60*0.3</f>
        <v>15147530.516999999</v>
      </c>
    </row>
    <row r="61" spans="1:19" ht="28.5" hidden="1" customHeight="1">
      <c r="A61" s="12" t="s">
        <v>117</v>
      </c>
      <c r="B61" s="34" t="s">
        <v>118</v>
      </c>
      <c r="C61" s="12">
        <v>59</v>
      </c>
      <c r="D61" s="36">
        <v>41257</v>
      </c>
      <c r="E61" s="25" t="s">
        <v>37</v>
      </c>
      <c r="F61" s="45" t="s">
        <v>84</v>
      </c>
      <c r="G61" s="57">
        <v>96</v>
      </c>
      <c r="H61" s="13">
        <v>41</v>
      </c>
      <c r="I61" s="13">
        <v>34</v>
      </c>
      <c r="J61" s="13">
        <v>7</v>
      </c>
      <c r="K61" s="56">
        <f>SUM(L61:M61)</f>
        <v>1787.63</v>
      </c>
      <c r="L61" s="56">
        <v>1370.28</v>
      </c>
      <c r="M61" s="56">
        <v>417.35</v>
      </c>
      <c r="N61" s="28">
        <v>85806240</v>
      </c>
      <c r="O61" s="28">
        <v>36005566.25</v>
      </c>
      <c r="P61" s="29">
        <v>24900336.879999999</v>
      </c>
      <c r="Q61" s="29">
        <v>24900336.870000001</v>
      </c>
      <c r="R61" s="16"/>
    </row>
    <row r="62" spans="1:19" ht="28.5" hidden="1" customHeight="1">
      <c r="A62" s="12" t="s">
        <v>119</v>
      </c>
      <c r="B62" s="34" t="s">
        <v>120</v>
      </c>
      <c r="C62" s="35">
        <v>3330</v>
      </c>
      <c r="D62" s="36">
        <v>42720</v>
      </c>
      <c r="E62" s="25" t="s">
        <v>37</v>
      </c>
      <c r="F62" s="45" t="s">
        <v>84</v>
      </c>
      <c r="G62" s="13">
        <v>32</v>
      </c>
      <c r="H62" s="13">
        <v>12</v>
      </c>
      <c r="I62" s="13">
        <v>11</v>
      </c>
      <c r="J62" s="13">
        <v>1</v>
      </c>
      <c r="K62" s="14">
        <v>716.24</v>
      </c>
      <c r="L62" s="14">
        <v>637.04</v>
      </c>
      <c r="M62" s="14">
        <v>79.2</v>
      </c>
      <c r="N62" s="28">
        <v>34379520</v>
      </c>
      <c r="O62" s="28">
        <v>14486202.140000001</v>
      </c>
      <c r="P62" s="29">
        <v>9946658.9299999997</v>
      </c>
      <c r="Q62" s="29">
        <v>9946658.9299999997</v>
      </c>
      <c r="R62" s="16"/>
    </row>
    <row r="63" spans="1:19" ht="28.5" hidden="1" customHeight="1">
      <c r="A63" s="591" t="s">
        <v>121</v>
      </c>
      <c r="B63" s="592"/>
      <c r="C63" s="21" t="s">
        <v>28</v>
      </c>
      <c r="D63" s="21" t="s">
        <v>28</v>
      </c>
      <c r="E63" s="21" t="s">
        <v>28</v>
      </c>
      <c r="F63" s="21" t="s">
        <v>28</v>
      </c>
      <c r="G63" s="13">
        <f t="shared" ref="G63:Q63" si="15">SUM(G64,G67,G71,G73,G76,G78)</f>
        <v>128</v>
      </c>
      <c r="H63" s="13">
        <f t="shared" si="15"/>
        <v>58</v>
      </c>
      <c r="I63" s="13">
        <f t="shared" si="15"/>
        <v>30</v>
      </c>
      <c r="J63" s="13">
        <f t="shared" si="15"/>
        <v>28</v>
      </c>
      <c r="K63" s="14">
        <f t="shared" si="15"/>
        <v>2170.69</v>
      </c>
      <c r="L63" s="14">
        <f t="shared" si="15"/>
        <v>1233.5099999999998</v>
      </c>
      <c r="M63" s="14">
        <f t="shared" si="15"/>
        <v>937.18000000000006</v>
      </c>
      <c r="N63" s="29">
        <f t="shared" si="15"/>
        <v>74592922.75999999</v>
      </c>
      <c r="O63" s="29">
        <f t="shared" si="15"/>
        <v>0</v>
      </c>
      <c r="P63" s="29">
        <f t="shared" si="15"/>
        <v>70863276.620000005</v>
      </c>
      <c r="Q63" s="29">
        <f t="shared" si="15"/>
        <v>3729646.1399999997</v>
      </c>
      <c r="R63" s="58"/>
      <c r="S63" s="49"/>
    </row>
    <row r="64" spans="1:19" ht="28.5" hidden="1" customHeight="1">
      <c r="A64" s="590" t="s">
        <v>81</v>
      </c>
      <c r="B64" s="590"/>
      <c r="C64" s="21" t="s">
        <v>28</v>
      </c>
      <c r="D64" s="21" t="s">
        <v>28</v>
      </c>
      <c r="E64" s="21" t="s">
        <v>28</v>
      </c>
      <c r="F64" s="21" t="s">
        <v>28</v>
      </c>
      <c r="G64" s="26">
        <f t="shared" ref="G64:Q64" si="16">SUM(G65,G66)</f>
        <v>13</v>
      </c>
      <c r="H64" s="26">
        <f t="shared" si="16"/>
        <v>6</v>
      </c>
      <c r="I64" s="26">
        <f t="shared" si="16"/>
        <v>2</v>
      </c>
      <c r="J64" s="26">
        <f t="shared" si="16"/>
        <v>4</v>
      </c>
      <c r="K64" s="27">
        <f t="shared" si="16"/>
        <v>183.66</v>
      </c>
      <c r="L64" s="27">
        <f t="shared" si="16"/>
        <v>65.84</v>
      </c>
      <c r="M64" s="27">
        <f t="shared" si="16"/>
        <v>117.82</v>
      </c>
      <c r="N64" s="28">
        <f t="shared" si="16"/>
        <v>7833613.25</v>
      </c>
      <c r="O64" s="28">
        <f t="shared" si="16"/>
        <v>0</v>
      </c>
      <c r="P64" s="28">
        <f t="shared" si="16"/>
        <v>7441932.5899999999</v>
      </c>
      <c r="Q64" s="28">
        <f t="shared" si="16"/>
        <v>391680.66000000003</v>
      </c>
      <c r="R64" s="48"/>
    </row>
    <row r="65" spans="1:19" ht="28.5" hidden="1" customHeight="1">
      <c r="A65" s="12" t="s">
        <v>122</v>
      </c>
      <c r="B65" s="34" t="s">
        <v>123</v>
      </c>
      <c r="C65" s="12">
        <v>1</v>
      </c>
      <c r="D65" s="36">
        <v>41690</v>
      </c>
      <c r="E65" s="25" t="s">
        <v>37</v>
      </c>
      <c r="F65" s="45" t="s">
        <v>84</v>
      </c>
      <c r="G65" s="57">
        <v>8</v>
      </c>
      <c r="H65" s="13">
        <v>4</v>
      </c>
      <c r="I65" s="13">
        <v>0</v>
      </c>
      <c r="J65" s="13">
        <v>4</v>
      </c>
      <c r="K65" s="56">
        <v>117.82</v>
      </c>
      <c r="L65" s="56">
        <v>0</v>
      </c>
      <c r="M65" s="56">
        <v>117.82</v>
      </c>
      <c r="N65" s="28">
        <v>5025352.9000000004</v>
      </c>
      <c r="O65" s="14">
        <v>0</v>
      </c>
      <c r="P65" s="29">
        <v>4774085.26</v>
      </c>
      <c r="Q65" s="29">
        <v>251267.64</v>
      </c>
      <c r="R65" s="59"/>
    </row>
    <row r="66" spans="1:19" ht="28.5" hidden="1" customHeight="1">
      <c r="A66" s="12" t="s">
        <v>124</v>
      </c>
      <c r="B66" s="34" t="s">
        <v>125</v>
      </c>
      <c r="C66" s="35">
        <v>3</v>
      </c>
      <c r="D66" s="36">
        <v>41690</v>
      </c>
      <c r="E66" s="25" t="s">
        <v>37</v>
      </c>
      <c r="F66" s="45" t="s">
        <v>84</v>
      </c>
      <c r="G66" s="13">
        <v>5</v>
      </c>
      <c r="H66" s="13">
        <v>2</v>
      </c>
      <c r="I66" s="13">
        <v>2</v>
      </c>
      <c r="J66" s="13">
        <v>0</v>
      </c>
      <c r="K66" s="14">
        <v>65.84</v>
      </c>
      <c r="L66" s="14">
        <v>65.84</v>
      </c>
      <c r="M66" s="14">
        <v>0</v>
      </c>
      <c r="N66" s="28">
        <v>2808260.35</v>
      </c>
      <c r="O66" s="14">
        <v>0</v>
      </c>
      <c r="P66" s="29">
        <v>2667847.33</v>
      </c>
      <c r="Q66" s="29">
        <v>140413.01999999999</v>
      </c>
      <c r="R66" s="59"/>
    </row>
    <row r="67" spans="1:19" ht="27" hidden="1" customHeight="1">
      <c r="A67" s="588" t="s">
        <v>33</v>
      </c>
      <c r="B67" s="589"/>
      <c r="C67" s="12" t="s">
        <v>28</v>
      </c>
      <c r="D67" s="12" t="s">
        <v>28</v>
      </c>
      <c r="E67" s="12" t="s">
        <v>28</v>
      </c>
      <c r="F67" s="12" t="s">
        <v>28</v>
      </c>
      <c r="G67" s="18">
        <f t="shared" ref="G67:Q67" si="17">SUM(G68:G70)</f>
        <v>25</v>
      </c>
      <c r="H67" s="18">
        <f t="shared" si="17"/>
        <v>14</v>
      </c>
      <c r="I67" s="18">
        <f t="shared" si="17"/>
        <v>5</v>
      </c>
      <c r="J67" s="18">
        <f t="shared" si="17"/>
        <v>9</v>
      </c>
      <c r="K67" s="19">
        <f t="shared" si="17"/>
        <v>456.28</v>
      </c>
      <c r="L67" s="19">
        <f t="shared" si="17"/>
        <v>151.20999999999998</v>
      </c>
      <c r="M67" s="19">
        <f t="shared" si="17"/>
        <v>305.07</v>
      </c>
      <c r="N67" s="28">
        <f t="shared" si="17"/>
        <v>19461619.59</v>
      </c>
      <c r="O67" s="28">
        <f t="shared" si="17"/>
        <v>0</v>
      </c>
      <c r="P67" s="28">
        <f t="shared" si="17"/>
        <v>18488538.609999999</v>
      </c>
      <c r="Q67" s="28">
        <f t="shared" si="17"/>
        <v>973080.97999999986</v>
      </c>
      <c r="R67" s="16"/>
    </row>
    <row r="68" spans="1:19" ht="28.5" hidden="1" customHeight="1">
      <c r="A68" s="21" t="s">
        <v>126</v>
      </c>
      <c r="B68" s="22" t="s">
        <v>35</v>
      </c>
      <c r="C68" s="23">
        <v>154</v>
      </c>
      <c r="D68" s="24">
        <v>42444</v>
      </c>
      <c r="E68" s="25" t="s">
        <v>37</v>
      </c>
      <c r="F68" s="45" t="s">
        <v>84</v>
      </c>
      <c r="G68" s="26">
        <v>4</v>
      </c>
      <c r="H68" s="26">
        <v>4</v>
      </c>
      <c r="I68" s="26">
        <v>1</v>
      </c>
      <c r="J68" s="26">
        <v>3</v>
      </c>
      <c r="K68" s="27">
        <v>224.17</v>
      </c>
      <c r="L68" s="27">
        <v>49</v>
      </c>
      <c r="M68" s="27">
        <v>175.17</v>
      </c>
      <c r="N68" s="28">
        <v>9561478.1799999997</v>
      </c>
      <c r="O68" s="28">
        <v>0</v>
      </c>
      <c r="P68" s="29">
        <v>9083404.2699999996</v>
      </c>
      <c r="Q68" s="29">
        <v>478073.91</v>
      </c>
      <c r="R68" s="16"/>
      <c r="S68" s="30"/>
    </row>
    <row r="69" spans="1:19" ht="28.5" hidden="1" customHeight="1">
      <c r="A69" s="21" t="s">
        <v>127</v>
      </c>
      <c r="B69" s="22" t="s">
        <v>42</v>
      </c>
      <c r="C69" s="23">
        <v>217</v>
      </c>
      <c r="D69" s="24">
        <v>42486</v>
      </c>
      <c r="E69" s="25" t="s">
        <v>37</v>
      </c>
      <c r="F69" s="45" t="s">
        <v>84</v>
      </c>
      <c r="G69" s="26">
        <v>15</v>
      </c>
      <c r="H69" s="26">
        <v>6</v>
      </c>
      <c r="I69" s="26">
        <v>4</v>
      </c>
      <c r="J69" s="26">
        <v>2</v>
      </c>
      <c r="K69" s="27">
        <v>143.91</v>
      </c>
      <c r="L69" s="27">
        <v>102.21</v>
      </c>
      <c r="M69" s="27">
        <v>41.7</v>
      </c>
      <c r="N69" s="28">
        <v>6138164.4500000002</v>
      </c>
      <c r="O69" s="28">
        <v>0</v>
      </c>
      <c r="P69" s="29">
        <v>5831256.2300000004</v>
      </c>
      <c r="Q69" s="29">
        <v>306908.21999999997</v>
      </c>
      <c r="R69" s="16"/>
    </row>
    <row r="70" spans="1:19" ht="28.5" hidden="1" customHeight="1">
      <c r="A70" s="21" t="s">
        <v>128</v>
      </c>
      <c r="B70" s="22" t="s">
        <v>129</v>
      </c>
      <c r="C70" s="21">
        <v>356</v>
      </c>
      <c r="D70" s="24">
        <v>42508</v>
      </c>
      <c r="E70" s="25" t="s">
        <v>37</v>
      </c>
      <c r="F70" s="45" t="s">
        <v>84</v>
      </c>
      <c r="G70" s="26">
        <v>6</v>
      </c>
      <c r="H70" s="26">
        <v>4</v>
      </c>
      <c r="I70" s="26">
        <v>0</v>
      </c>
      <c r="J70" s="26">
        <v>4</v>
      </c>
      <c r="K70" s="27">
        <v>88.2</v>
      </c>
      <c r="L70" s="27">
        <v>0</v>
      </c>
      <c r="M70" s="27">
        <v>88.2</v>
      </c>
      <c r="N70" s="28">
        <v>3761976.9600000004</v>
      </c>
      <c r="O70" s="14">
        <v>0</v>
      </c>
      <c r="P70" s="29">
        <v>3573878.11</v>
      </c>
      <c r="Q70" s="29">
        <v>188098.85</v>
      </c>
      <c r="R70" s="16"/>
    </row>
    <row r="71" spans="1:19" ht="28.5" hidden="1" customHeight="1">
      <c r="A71" s="591" t="s">
        <v>87</v>
      </c>
      <c r="B71" s="592"/>
      <c r="C71" s="21" t="s">
        <v>28</v>
      </c>
      <c r="D71" s="21" t="s">
        <v>28</v>
      </c>
      <c r="E71" s="21" t="s">
        <v>28</v>
      </c>
      <c r="F71" s="21" t="s">
        <v>28</v>
      </c>
      <c r="G71" s="26">
        <f t="shared" ref="G71:Q71" si="18">G72</f>
        <v>4</v>
      </c>
      <c r="H71" s="26">
        <f t="shared" si="18"/>
        <v>2</v>
      </c>
      <c r="I71" s="26">
        <f t="shared" si="18"/>
        <v>1</v>
      </c>
      <c r="J71" s="26">
        <f t="shared" si="18"/>
        <v>1</v>
      </c>
      <c r="K71" s="27">
        <f t="shared" si="18"/>
        <v>41.9</v>
      </c>
      <c r="L71" s="27">
        <f t="shared" si="18"/>
        <v>20.6</v>
      </c>
      <c r="M71" s="27">
        <f t="shared" si="18"/>
        <v>21.3</v>
      </c>
      <c r="N71" s="28">
        <f t="shared" si="18"/>
        <v>1787152.3199999998</v>
      </c>
      <c r="O71" s="28">
        <f t="shared" si="18"/>
        <v>0</v>
      </c>
      <c r="P71" s="28">
        <f t="shared" si="18"/>
        <v>1697794.7</v>
      </c>
      <c r="Q71" s="28">
        <f t="shared" si="18"/>
        <v>89357.62</v>
      </c>
      <c r="R71" s="16"/>
    </row>
    <row r="72" spans="1:19" ht="28.5" hidden="1" customHeight="1">
      <c r="A72" s="40" t="s">
        <v>130</v>
      </c>
      <c r="B72" s="22" t="s">
        <v>131</v>
      </c>
      <c r="C72" s="43" t="s">
        <v>132</v>
      </c>
      <c r="D72" s="24">
        <v>41085</v>
      </c>
      <c r="E72" s="25" t="s">
        <v>37</v>
      </c>
      <c r="F72" s="45" t="s">
        <v>84</v>
      </c>
      <c r="G72" s="26">
        <v>4</v>
      </c>
      <c r="H72" s="26">
        <v>2</v>
      </c>
      <c r="I72" s="26">
        <v>1</v>
      </c>
      <c r="J72" s="26">
        <v>1</v>
      </c>
      <c r="K72" s="27">
        <v>41.9</v>
      </c>
      <c r="L72" s="27">
        <v>20.6</v>
      </c>
      <c r="M72" s="27">
        <v>21.3</v>
      </c>
      <c r="N72" s="28">
        <v>1787152.3199999998</v>
      </c>
      <c r="O72" s="14">
        <v>0</v>
      </c>
      <c r="P72" s="29">
        <v>1697794.7</v>
      </c>
      <c r="Q72" s="29">
        <v>89357.62</v>
      </c>
      <c r="R72" s="16"/>
    </row>
    <row r="73" spans="1:19" ht="28.5" hidden="1" customHeight="1">
      <c r="A73" s="590" t="s">
        <v>47</v>
      </c>
      <c r="B73" s="590"/>
      <c r="C73" s="21" t="s">
        <v>28</v>
      </c>
      <c r="D73" s="21" t="s">
        <v>28</v>
      </c>
      <c r="E73" s="21" t="s">
        <v>28</v>
      </c>
      <c r="F73" s="12" t="s">
        <v>28</v>
      </c>
      <c r="G73" s="26">
        <f t="shared" ref="G73:Q73" si="19">SUM(G74,G75)</f>
        <v>15</v>
      </c>
      <c r="H73" s="26">
        <f t="shared" si="19"/>
        <v>5</v>
      </c>
      <c r="I73" s="26">
        <f t="shared" si="19"/>
        <v>2</v>
      </c>
      <c r="J73" s="26">
        <f t="shared" si="19"/>
        <v>3</v>
      </c>
      <c r="K73" s="27">
        <f t="shared" si="19"/>
        <v>201.7</v>
      </c>
      <c r="L73" s="27">
        <f t="shared" si="19"/>
        <v>66.7</v>
      </c>
      <c r="M73" s="27">
        <f t="shared" si="19"/>
        <v>135</v>
      </c>
      <c r="N73" s="28">
        <f t="shared" si="19"/>
        <v>8603069.7599999998</v>
      </c>
      <c r="O73" s="28">
        <f t="shared" si="19"/>
        <v>0</v>
      </c>
      <c r="P73" s="28">
        <f t="shared" si="19"/>
        <v>8172916.2699999996</v>
      </c>
      <c r="Q73" s="28">
        <f t="shared" si="19"/>
        <v>430153.49</v>
      </c>
      <c r="R73" s="16"/>
    </row>
    <row r="74" spans="1:19" ht="28.5" hidden="1" customHeight="1">
      <c r="A74" s="40" t="s">
        <v>133</v>
      </c>
      <c r="B74" s="34" t="s">
        <v>134</v>
      </c>
      <c r="C74" s="12" t="s">
        <v>135</v>
      </c>
      <c r="D74" s="36">
        <v>42734</v>
      </c>
      <c r="E74" s="25" t="s">
        <v>37</v>
      </c>
      <c r="F74" s="45" t="s">
        <v>84</v>
      </c>
      <c r="G74" s="57">
        <v>11</v>
      </c>
      <c r="H74" s="13">
        <v>4</v>
      </c>
      <c r="I74" s="13">
        <v>2</v>
      </c>
      <c r="J74" s="13">
        <v>2</v>
      </c>
      <c r="K74" s="56">
        <v>152.69999999999999</v>
      </c>
      <c r="L74" s="56">
        <v>66.7</v>
      </c>
      <c r="M74" s="56">
        <v>86</v>
      </c>
      <c r="N74" s="28">
        <v>6513082.5599999996</v>
      </c>
      <c r="O74" s="14">
        <v>0</v>
      </c>
      <c r="P74" s="29">
        <v>6187428.4299999997</v>
      </c>
      <c r="Q74" s="29">
        <v>325654.13</v>
      </c>
      <c r="R74" s="59"/>
    </row>
    <row r="75" spans="1:19" ht="28.5" hidden="1" customHeight="1">
      <c r="A75" s="12" t="s">
        <v>136</v>
      </c>
      <c r="B75" s="34" t="s">
        <v>137</v>
      </c>
      <c r="C75" s="35" t="s">
        <v>138</v>
      </c>
      <c r="D75" s="36">
        <v>41565</v>
      </c>
      <c r="E75" s="25" t="s">
        <v>37</v>
      </c>
      <c r="F75" s="45" t="s">
        <v>84</v>
      </c>
      <c r="G75" s="13">
        <v>4</v>
      </c>
      <c r="H75" s="13">
        <v>1</v>
      </c>
      <c r="I75" s="13">
        <v>0</v>
      </c>
      <c r="J75" s="13">
        <v>1</v>
      </c>
      <c r="K75" s="14">
        <v>49</v>
      </c>
      <c r="L75" s="14">
        <v>0</v>
      </c>
      <c r="M75" s="14">
        <v>49</v>
      </c>
      <c r="N75" s="28">
        <v>2089987.2</v>
      </c>
      <c r="O75" s="14">
        <v>0</v>
      </c>
      <c r="P75" s="29">
        <v>1985487.84</v>
      </c>
      <c r="Q75" s="29">
        <v>104499.36</v>
      </c>
      <c r="R75" s="59"/>
    </row>
    <row r="76" spans="1:19" ht="28.5" hidden="1" customHeight="1">
      <c r="A76" s="590" t="s">
        <v>139</v>
      </c>
      <c r="B76" s="590"/>
      <c r="C76" s="21" t="s">
        <v>28</v>
      </c>
      <c r="D76" s="21" t="s">
        <v>28</v>
      </c>
      <c r="E76" s="21" t="s">
        <v>28</v>
      </c>
      <c r="F76" s="21" t="s">
        <v>28</v>
      </c>
      <c r="G76" s="13">
        <f t="shared" ref="G76:Q76" si="20">G77</f>
        <v>35</v>
      </c>
      <c r="H76" s="13">
        <f t="shared" si="20"/>
        <v>18</v>
      </c>
      <c r="I76" s="13">
        <f t="shared" si="20"/>
        <v>18</v>
      </c>
      <c r="J76" s="13">
        <f t="shared" si="20"/>
        <v>0</v>
      </c>
      <c r="K76" s="14">
        <f t="shared" si="20"/>
        <v>865.3</v>
      </c>
      <c r="L76" s="14">
        <f t="shared" si="20"/>
        <v>865.3</v>
      </c>
      <c r="M76" s="14">
        <f t="shared" si="20"/>
        <v>0</v>
      </c>
      <c r="N76" s="28">
        <f t="shared" si="20"/>
        <v>36907467.839999996</v>
      </c>
      <c r="O76" s="28">
        <f t="shared" si="20"/>
        <v>0</v>
      </c>
      <c r="P76" s="28">
        <f t="shared" si="20"/>
        <v>35062094.450000003</v>
      </c>
      <c r="Q76" s="28">
        <f t="shared" si="20"/>
        <v>1845373.39</v>
      </c>
      <c r="R76" s="59"/>
    </row>
    <row r="77" spans="1:19" ht="28.5" hidden="1" customHeight="1">
      <c r="A77" s="40" t="s">
        <v>140</v>
      </c>
      <c r="B77" s="22" t="s">
        <v>141</v>
      </c>
      <c r="C77" s="43" t="s">
        <v>53</v>
      </c>
      <c r="D77" s="24">
        <v>42479</v>
      </c>
      <c r="E77" s="25" t="s">
        <v>37</v>
      </c>
      <c r="F77" s="45" t="s">
        <v>84</v>
      </c>
      <c r="G77" s="26">
        <v>35</v>
      </c>
      <c r="H77" s="26">
        <v>18</v>
      </c>
      <c r="I77" s="26">
        <v>18</v>
      </c>
      <c r="J77" s="26">
        <v>0</v>
      </c>
      <c r="K77" s="27">
        <v>865.3</v>
      </c>
      <c r="L77" s="27">
        <v>865.3</v>
      </c>
      <c r="M77" s="27">
        <v>0</v>
      </c>
      <c r="N77" s="28">
        <v>36907467.839999996</v>
      </c>
      <c r="O77" s="14">
        <v>0</v>
      </c>
      <c r="P77" s="29">
        <v>35062094.450000003</v>
      </c>
      <c r="Q77" s="29">
        <v>1845373.39</v>
      </c>
      <c r="R77" s="59"/>
    </row>
    <row r="78" spans="1:19" ht="28.5" hidden="1" customHeight="1">
      <c r="A78" s="590" t="s">
        <v>142</v>
      </c>
      <c r="B78" s="590"/>
      <c r="C78" s="21" t="s">
        <v>28</v>
      </c>
      <c r="D78" s="21" t="s">
        <v>28</v>
      </c>
      <c r="E78" s="21" t="s">
        <v>28</v>
      </c>
      <c r="F78" s="21" t="s">
        <v>28</v>
      </c>
      <c r="G78" s="26">
        <f t="shared" ref="G78:Q78" si="21">SUM(G79:G82)</f>
        <v>36</v>
      </c>
      <c r="H78" s="26">
        <f t="shared" si="21"/>
        <v>13</v>
      </c>
      <c r="I78" s="26">
        <f t="shared" si="21"/>
        <v>2</v>
      </c>
      <c r="J78" s="26">
        <f t="shared" si="21"/>
        <v>11</v>
      </c>
      <c r="K78" s="27">
        <f t="shared" si="21"/>
        <v>421.84999999999997</v>
      </c>
      <c r="L78" s="27">
        <f t="shared" si="21"/>
        <v>63.86</v>
      </c>
      <c r="M78" s="27">
        <f t="shared" si="21"/>
        <v>357.99</v>
      </c>
      <c r="N78" s="27">
        <f t="shared" si="21"/>
        <v>0</v>
      </c>
      <c r="O78" s="27">
        <f t="shared" si="21"/>
        <v>0</v>
      </c>
      <c r="P78" s="27">
        <f t="shared" si="21"/>
        <v>0</v>
      </c>
      <c r="Q78" s="27">
        <f t="shared" si="21"/>
        <v>0</v>
      </c>
      <c r="R78" s="58"/>
    </row>
    <row r="79" spans="1:19" ht="28.5" hidden="1" customHeight="1">
      <c r="A79" s="12" t="s">
        <v>143</v>
      </c>
      <c r="B79" s="22" t="s">
        <v>144</v>
      </c>
      <c r="C79" s="43" t="s">
        <v>103</v>
      </c>
      <c r="D79" s="24">
        <v>41565</v>
      </c>
      <c r="E79" s="45" t="s">
        <v>37</v>
      </c>
      <c r="F79" s="45" t="s">
        <v>84</v>
      </c>
      <c r="G79" s="13">
        <v>20</v>
      </c>
      <c r="H79" s="13">
        <v>7</v>
      </c>
      <c r="I79" s="13">
        <v>0</v>
      </c>
      <c r="J79" s="13">
        <v>7</v>
      </c>
      <c r="K79" s="14">
        <v>211.61</v>
      </c>
      <c r="L79" s="14">
        <v>0</v>
      </c>
      <c r="M79" s="14">
        <v>211.61</v>
      </c>
      <c r="N79" s="28">
        <v>0</v>
      </c>
      <c r="O79" s="14">
        <v>0</v>
      </c>
      <c r="P79" s="29">
        <v>0</v>
      </c>
      <c r="Q79" s="28">
        <v>0</v>
      </c>
      <c r="R79" s="598" t="s">
        <v>142</v>
      </c>
    </row>
    <row r="80" spans="1:19" ht="28.5" hidden="1" customHeight="1">
      <c r="A80" s="12" t="s">
        <v>145</v>
      </c>
      <c r="B80" s="22" t="s">
        <v>146</v>
      </c>
      <c r="C80" s="23">
        <v>30</v>
      </c>
      <c r="D80" s="24">
        <v>41593</v>
      </c>
      <c r="E80" s="45" t="s">
        <v>37</v>
      </c>
      <c r="F80" s="45" t="s">
        <v>84</v>
      </c>
      <c r="G80" s="26">
        <v>5</v>
      </c>
      <c r="H80" s="26">
        <v>2</v>
      </c>
      <c r="I80" s="26">
        <v>0</v>
      </c>
      <c r="J80" s="26">
        <v>2</v>
      </c>
      <c r="K80" s="27">
        <v>81.33</v>
      </c>
      <c r="L80" s="27">
        <v>0</v>
      </c>
      <c r="M80" s="27">
        <v>81.33</v>
      </c>
      <c r="N80" s="28">
        <v>0</v>
      </c>
      <c r="O80" s="14">
        <v>0</v>
      </c>
      <c r="P80" s="29">
        <v>0</v>
      </c>
      <c r="Q80" s="28">
        <v>0</v>
      </c>
      <c r="R80" s="599"/>
    </row>
    <row r="81" spans="1:21" ht="28.5" hidden="1" customHeight="1">
      <c r="A81" s="40" t="s">
        <v>147</v>
      </c>
      <c r="B81" s="34" t="s">
        <v>118</v>
      </c>
      <c r="C81" s="12">
        <v>59</v>
      </c>
      <c r="D81" s="36">
        <v>41257</v>
      </c>
      <c r="E81" s="25" t="s">
        <v>37</v>
      </c>
      <c r="F81" s="45" t="s">
        <v>84</v>
      </c>
      <c r="G81" s="13">
        <v>9</v>
      </c>
      <c r="H81" s="13">
        <v>3</v>
      </c>
      <c r="I81" s="13">
        <v>2</v>
      </c>
      <c r="J81" s="13">
        <v>1</v>
      </c>
      <c r="K81" s="14">
        <v>107.85</v>
      </c>
      <c r="L81" s="14">
        <v>63.86</v>
      </c>
      <c r="M81" s="14">
        <v>43.99</v>
      </c>
      <c r="N81" s="28">
        <v>0</v>
      </c>
      <c r="O81" s="14">
        <v>0</v>
      </c>
      <c r="P81" s="29">
        <v>0</v>
      </c>
      <c r="Q81" s="28">
        <v>0</v>
      </c>
      <c r="R81" s="599"/>
    </row>
    <row r="82" spans="1:21" ht="28.5" hidden="1" customHeight="1">
      <c r="A82" s="40" t="s">
        <v>148</v>
      </c>
      <c r="B82" s="22" t="s">
        <v>149</v>
      </c>
      <c r="C82" s="21">
        <v>31</v>
      </c>
      <c r="D82" s="24">
        <v>41876</v>
      </c>
      <c r="E82" s="45" t="s">
        <v>37</v>
      </c>
      <c r="F82" s="45" t="s">
        <v>84</v>
      </c>
      <c r="G82" s="26">
        <v>2</v>
      </c>
      <c r="H82" s="26">
        <v>1</v>
      </c>
      <c r="I82" s="26">
        <v>0</v>
      </c>
      <c r="J82" s="26">
        <v>1</v>
      </c>
      <c r="K82" s="27">
        <v>21.06</v>
      </c>
      <c r="L82" s="27">
        <v>0</v>
      </c>
      <c r="M82" s="27">
        <v>21.06</v>
      </c>
      <c r="N82" s="29">
        <v>0</v>
      </c>
      <c r="O82" s="14">
        <v>0</v>
      </c>
      <c r="P82" s="29">
        <v>0</v>
      </c>
      <c r="Q82" s="29">
        <v>0</v>
      </c>
      <c r="R82" s="600"/>
    </row>
    <row r="83" spans="1:21" s="62" customFormat="1" ht="28.5" customHeight="1">
      <c r="A83" s="593" t="s">
        <v>150</v>
      </c>
      <c r="B83" s="593"/>
      <c r="C83" s="23" t="s">
        <v>28</v>
      </c>
      <c r="D83" s="24" t="s">
        <v>28</v>
      </c>
      <c r="E83" s="45" t="s">
        <v>28</v>
      </c>
      <c r="F83" s="45" t="s">
        <v>28</v>
      </c>
      <c r="G83" s="26"/>
      <c r="H83" s="26"/>
      <c r="I83" s="26"/>
      <c r="J83" s="26"/>
      <c r="K83" s="27"/>
      <c r="L83" s="27"/>
      <c r="M83" s="27"/>
      <c r="N83" s="28"/>
      <c r="O83" s="29"/>
      <c r="P83" s="29"/>
      <c r="Q83" s="29"/>
      <c r="R83" s="59"/>
      <c r="S83" s="60"/>
      <c r="T83" s="30"/>
      <c r="U83" s="61"/>
    </row>
    <row r="84" spans="1:21" s="1" customFormat="1" ht="28.5" hidden="1" customHeight="1">
      <c r="A84" s="591" t="s">
        <v>81</v>
      </c>
      <c r="B84" s="592"/>
      <c r="C84" s="21" t="s">
        <v>28</v>
      </c>
      <c r="D84" s="21" t="s">
        <v>28</v>
      </c>
      <c r="E84" s="21" t="s">
        <v>28</v>
      </c>
      <c r="F84" s="21" t="s">
        <v>28</v>
      </c>
      <c r="G84" s="26">
        <f>SUM(G85:G86)</f>
        <v>60</v>
      </c>
      <c r="H84" s="26">
        <f t="shared" ref="H84:Q84" si="22">SUM(H85:H86)</f>
        <v>39</v>
      </c>
      <c r="I84" s="26">
        <f t="shared" si="22"/>
        <v>22</v>
      </c>
      <c r="J84" s="26">
        <f t="shared" si="22"/>
        <v>17</v>
      </c>
      <c r="K84" s="27">
        <f t="shared" si="22"/>
        <v>927.58999999999992</v>
      </c>
      <c r="L84" s="27">
        <f t="shared" si="22"/>
        <v>508.42999999999995</v>
      </c>
      <c r="M84" s="27">
        <f t="shared" si="22"/>
        <v>419.15999999999997</v>
      </c>
      <c r="N84" s="28">
        <f t="shared" si="22"/>
        <v>44524319.999999993</v>
      </c>
      <c r="O84" s="29">
        <f t="shared" si="22"/>
        <v>32717673.963861108</v>
      </c>
      <c r="P84" s="29">
        <f t="shared" si="22"/>
        <v>11216313.738331944</v>
      </c>
      <c r="Q84" s="29">
        <f t="shared" si="22"/>
        <v>590332.30209874082</v>
      </c>
      <c r="R84" s="59"/>
      <c r="S84" s="60"/>
      <c r="T84" s="30"/>
      <c r="U84" s="61"/>
    </row>
    <row r="85" spans="1:21" ht="28.5" hidden="1" customHeight="1">
      <c r="A85" s="40" t="s">
        <v>151</v>
      </c>
      <c r="B85" s="22" t="s">
        <v>152</v>
      </c>
      <c r="C85" s="21" t="s">
        <v>153</v>
      </c>
      <c r="D85" s="24">
        <v>42733</v>
      </c>
      <c r="E85" s="25" t="s">
        <v>84</v>
      </c>
      <c r="F85" s="45" t="s">
        <v>154</v>
      </c>
      <c r="G85" s="26">
        <v>20</v>
      </c>
      <c r="H85" s="26">
        <v>11</v>
      </c>
      <c r="I85" s="26">
        <v>6</v>
      </c>
      <c r="J85" s="26">
        <v>5</v>
      </c>
      <c r="K85" s="27">
        <v>358.99</v>
      </c>
      <c r="L85" s="27">
        <v>193.53</v>
      </c>
      <c r="M85" s="27">
        <v>165.46</v>
      </c>
      <c r="N85" s="28">
        <f>K85*1.2*40000</f>
        <v>17231520</v>
      </c>
      <c r="O85" s="29">
        <v>12662186.720000001</v>
      </c>
      <c r="P85" s="29">
        <v>4340866.62</v>
      </c>
      <c r="Q85" s="29">
        <v>228466.66429179627</v>
      </c>
      <c r="R85" s="59"/>
    </row>
    <row r="86" spans="1:21" ht="28.5" hidden="1" customHeight="1">
      <c r="A86" s="40" t="s">
        <v>155</v>
      </c>
      <c r="B86" s="22" t="s">
        <v>156</v>
      </c>
      <c r="C86" s="21" t="s">
        <v>157</v>
      </c>
      <c r="D86" s="24">
        <v>42732</v>
      </c>
      <c r="E86" s="25" t="s">
        <v>84</v>
      </c>
      <c r="F86" s="45" t="s">
        <v>154</v>
      </c>
      <c r="G86" s="26">
        <v>40</v>
      </c>
      <c r="H86" s="26">
        <v>28</v>
      </c>
      <c r="I86" s="26">
        <v>16</v>
      </c>
      <c r="J86" s="26">
        <v>12</v>
      </c>
      <c r="K86" s="27">
        <v>568.59999999999991</v>
      </c>
      <c r="L86" s="27">
        <v>314.89999999999998</v>
      </c>
      <c r="M86" s="27">
        <v>253.7</v>
      </c>
      <c r="N86" s="28">
        <f>K86*1.2*40000</f>
        <v>27292799.999999993</v>
      </c>
      <c r="O86" s="29">
        <v>20055487.243861105</v>
      </c>
      <c r="P86" s="29">
        <v>6875447.1183319427</v>
      </c>
      <c r="Q86" s="29">
        <v>361865.63780694455</v>
      </c>
      <c r="R86" s="59"/>
    </row>
    <row r="87" spans="1:21" ht="29.25" hidden="1" customHeight="1">
      <c r="A87" s="591" t="s">
        <v>158</v>
      </c>
      <c r="B87" s="592"/>
      <c r="C87" s="21" t="s">
        <v>28</v>
      </c>
      <c r="D87" s="21" t="s">
        <v>28</v>
      </c>
      <c r="E87" s="21" t="s">
        <v>28</v>
      </c>
      <c r="F87" s="21" t="s">
        <v>28</v>
      </c>
      <c r="G87" s="26">
        <f>SUM(G88:G89)</f>
        <v>12</v>
      </c>
      <c r="H87" s="26">
        <f t="shared" ref="H87:Q87" si="23">SUM(H88:H89)</f>
        <v>7</v>
      </c>
      <c r="I87" s="26">
        <f t="shared" si="23"/>
        <v>6</v>
      </c>
      <c r="J87" s="26">
        <f t="shared" si="23"/>
        <v>1</v>
      </c>
      <c r="K87" s="27">
        <f t="shared" si="23"/>
        <v>265.3</v>
      </c>
      <c r="L87" s="27">
        <f t="shared" si="23"/>
        <v>205.3</v>
      </c>
      <c r="M87" s="27">
        <f t="shared" si="23"/>
        <v>60</v>
      </c>
      <c r="N87" s="28">
        <f t="shared" si="23"/>
        <v>12734400</v>
      </c>
      <c r="O87" s="29">
        <f t="shared" si="23"/>
        <v>9357581.3699999992</v>
      </c>
      <c r="P87" s="29">
        <f t="shared" si="23"/>
        <v>3207977.7</v>
      </c>
      <c r="Q87" s="29">
        <f t="shared" si="23"/>
        <v>168840.93</v>
      </c>
      <c r="R87" s="16"/>
      <c r="T87" s="1"/>
    </row>
    <row r="88" spans="1:21" ht="28.5" hidden="1" customHeight="1">
      <c r="A88" s="40" t="s">
        <v>159</v>
      </c>
      <c r="B88" s="22" t="s">
        <v>160</v>
      </c>
      <c r="C88" s="23">
        <v>97</v>
      </c>
      <c r="D88" s="24">
        <v>42416</v>
      </c>
      <c r="E88" s="25" t="s">
        <v>84</v>
      </c>
      <c r="F88" s="45" t="s">
        <v>154</v>
      </c>
      <c r="G88" s="26">
        <v>11</v>
      </c>
      <c r="H88" s="26">
        <v>6</v>
      </c>
      <c r="I88" s="26">
        <v>6</v>
      </c>
      <c r="J88" s="26">
        <v>0</v>
      </c>
      <c r="K88" s="27">
        <v>205.3</v>
      </c>
      <c r="L88" s="27">
        <v>205.3</v>
      </c>
      <c r="M88" s="27">
        <v>0</v>
      </c>
      <c r="N88" s="28">
        <f>K88*1.2*40000</f>
        <v>9854400</v>
      </c>
      <c r="O88" s="29">
        <v>7241279.5199999996</v>
      </c>
      <c r="P88" s="29">
        <v>2482464.46</v>
      </c>
      <c r="Q88" s="29">
        <v>130656.02</v>
      </c>
      <c r="R88" s="16"/>
      <c r="S88" s="30"/>
    </row>
    <row r="89" spans="1:21" ht="28.5" hidden="1" customHeight="1">
      <c r="A89" s="40" t="s">
        <v>161</v>
      </c>
      <c r="B89" s="22" t="s">
        <v>162</v>
      </c>
      <c r="C89" s="21">
        <v>357</v>
      </c>
      <c r="D89" s="24">
        <v>42508</v>
      </c>
      <c r="E89" s="25" t="s">
        <v>84</v>
      </c>
      <c r="F89" s="45" t="s">
        <v>154</v>
      </c>
      <c r="G89" s="26">
        <v>1</v>
      </c>
      <c r="H89" s="26">
        <v>1</v>
      </c>
      <c r="I89" s="26">
        <v>0</v>
      </c>
      <c r="J89" s="26">
        <v>1</v>
      </c>
      <c r="K89" s="27">
        <v>60</v>
      </c>
      <c r="L89" s="27">
        <v>0</v>
      </c>
      <c r="M89" s="27">
        <v>60</v>
      </c>
      <c r="N89" s="28">
        <f>K89*1.2*40000</f>
        <v>2880000</v>
      </c>
      <c r="O89" s="29">
        <v>2116301.85</v>
      </c>
      <c r="P89" s="29">
        <v>725513.24</v>
      </c>
      <c r="Q89" s="29">
        <v>38184.910000000003</v>
      </c>
      <c r="R89" s="16"/>
      <c r="S89" s="30"/>
    </row>
    <row r="90" spans="1:21" ht="28.5" hidden="1" customHeight="1">
      <c r="A90" s="591" t="s">
        <v>87</v>
      </c>
      <c r="B90" s="592"/>
      <c r="C90" s="21" t="s">
        <v>28</v>
      </c>
      <c r="D90" s="21" t="s">
        <v>28</v>
      </c>
      <c r="E90" s="21" t="s">
        <v>28</v>
      </c>
      <c r="F90" s="21" t="s">
        <v>28</v>
      </c>
      <c r="G90" s="57">
        <f>SUM(G91:G97)</f>
        <v>72</v>
      </c>
      <c r="H90" s="13">
        <f t="shared" ref="H90:Q90" si="24">SUM(H91:H97)</f>
        <v>42</v>
      </c>
      <c r="I90" s="13">
        <f t="shared" si="24"/>
        <v>20</v>
      </c>
      <c r="J90" s="13">
        <f t="shared" si="24"/>
        <v>22</v>
      </c>
      <c r="K90" s="56">
        <f t="shared" si="24"/>
        <v>1291.9000000000001</v>
      </c>
      <c r="L90" s="56">
        <f t="shared" si="24"/>
        <v>631.51</v>
      </c>
      <c r="M90" s="56">
        <f t="shared" si="24"/>
        <v>660.39</v>
      </c>
      <c r="N90" s="28">
        <f t="shared" si="24"/>
        <v>62011200</v>
      </c>
      <c r="O90" s="29">
        <f>K90*37618*0.937628198728716</f>
        <v>45567506.103313699</v>
      </c>
      <c r="P90" s="29">
        <f t="shared" si="24"/>
        <v>15621509.200000003</v>
      </c>
      <c r="Q90" s="29">
        <f t="shared" si="24"/>
        <v>822184.6980108663</v>
      </c>
      <c r="R90" s="59"/>
      <c r="S90" s="30"/>
      <c r="T90" s="30"/>
    </row>
    <row r="91" spans="1:21" ht="28.5" hidden="1" customHeight="1">
      <c r="A91" s="12" t="s">
        <v>163</v>
      </c>
      <c r="B91" s="34" t="s">
        <v>164</v>
      </c>
      <c r="C91" s="12">
        <v>5</v>
      </c>
      <c r="D91" s="36">
        <v>41110</v>
      </c>
      <c r="E91" s="25" t="s">
        <v>84</v>
      </c>
      <c r="F91" s="45" t="s">
        <v>154</v>
      </c>
      <c r="G91" s="57">
        <v>14</v>
      </c>
      <c r="H91" s="13">
        <v>10</v>
      </c>
      <c r="I91" s="13">
        <v>6</v>
      </c>
      <c r="J91" s="13">
        <v>4</v>
      </c>
      <c r="K91" s="56">
        <v>258.8</v>
      </c>
      <c r="L91" s="56">
        <v>154.5</v>
      </c>
      <c r="M91" s="56">
        <v>104.30000000000001</v>
      </c>
      <c r="N91" s="28">
        <v>12422400</v>
      </c>
      <c r="O91" s="29">
        <v>9128315.3336462509</v>
      </c>
      <c r="P91" s="29">
        <v>3129380.43</v>
      </c>
      <c r="Q91" s="29">
        <v>164704.24</v>
      </c>
      <c r="R91" s="59"/>
      <c r="S91" s="30"/>
      <c r="T91" s="30"/>
      <c r="U91" s="61"/>
    </row>
    <row r="92" spans="1:21" ht="28.5" hidden="1" customHeight="1">
      <c r="A92" s="12" t="s">
        <v>165</v>
      </c>
      <c r="B92" s="34" t="s">
        <v>166</v>
      </c>
      <c r="C92" s="35">
        <v>22</v>
      </c>
      <c r="D92" s="36">
        <v>41085</v>
      </c>
      <c r="E92" s="25" t="s">
        <v>84</v>
      </c>
      <c r="F92" s="45" t="s">
        <v>154</v>
      </c>
      <c r="G92" s="13">
        <v>5</v>
      </c>
      <c r="H92" s="13">
        <v>4</v>
      </c>
      <c r="I92" s="13">
        <v>0</v>
      </c>
      <c r="J92" s="13">
        <v>4</v>
      </c>
      <c r="K92" s="14">
        <v>92.6</v>
      </c>
      <c r="L92" s="14">
        <v>0</v>
      </c>
      <c r="M92" s="14">
        <v>92.6</v>
      </c>
      <c r="N92" s="28">
        <v>4444800</v>
      </c>
      <c r="O92" s="29">
        <v>3266159.1958873346</v>
      </c>
      <c r="P92" s="29">
        <v>1119708.76</v>
      </c>
      <c r="Q92" s="29">
        <v>58932.040205633268</v>
      </c>
      <c r="R92" s="59"/>
      <c r="S92" s="30"/>
      <c r="T92" s="30"/>
      <c r="U92" s="61"/>
    </row>
    <row r="93" spans="1:21" ht="28.5" hidden="1" customHeight="1">
      <c r="A93" s="12" t="s">
        <v>167</v>
      </c>
      <c r="B93" s="34" t="s">
        <v>168</v>
      </c>
      <c r="C93" s="12">
        <v>20</v>
      </c>
      <c r="D93" s="36">
        <v>41085</v>
      </c>
      <c r="E93" s="25" t="s">
        <v>84</v>
      </c>
      <c r="F93" s="45" t="s">
        <v>154</v>
      </c>
      <c r="G93" s="57">
        <v>15</v>
      </c>
      <c r="H93" s="13">
        <v>6</v>
      </c>
      <c r="I93" s="13">
        <v>5</v>
      </c>
      <c r="J93" s="13">
        <v>1</v>
      </c>
      <c r="K93" s="56">
        <v>217</v>
      </c>
      <c r="L93" s="56">
        <v>193.6</v>
      </c>
      <c r="M93" s="56">
        <v>23.4</v>
      </c>
      <c r="N93" s="28">
        <v>10416000</v>
      </c>
      <c r="O93" s="29">
        <v>7653958.3748115739</v>
      </c>
      <c r="P93" s="29">
        <v>2623939.5499999998</v>
      </c>
      <c r="Q93" s="29">
        <v>138102.08125942154</v>
      </c>
      <c r="R93" s="59"/>
      <c r="S93" s="30"/>
      <c r="T93" s="30"/>
      <c r="U93" s="61"/>
    </row>
    <row r="94" spans="1:21" ht="28.5" hidden="1" customHeight="1">
      <c r="A94" s="12" t="s">
        <v>169</v>
      </c>
      <c r="B94" s="34" t="s">
        <v>170</v>
      </c>
      <c r="C94" s="35">
        <v>21</v>
      </c>
      <c r="D94" s="36">
        <v>41085</v>
      </c>
      <c r="E94" s="25" t="s">
        <v>84</v>
      </c>
      <c r="F94" s="45" t="s">
        <v>154</v>
      </c>
      <c r="G94" s="13">
        <v>8</v>
      </c>
      <c r="H94" s="13">
        <v>7</v>
      </c>
      <c r="I94" s="13">
        <v>2</v>
      </c>
      <c r="J94" s="13">
        <v>5</v>
      </c>
      <c r="K94" s="14">
        <v>152.6</v>
      </c>
      <c r="L94" s="14">
        <v>66</v>
      </c>
      <c r="M94" s="14">
        <v>86.6</v>
      </c>
      <c r="N94" s="28">
        <v>7324799.9999999991</v>
      </c>
      <c r="O94" s="29">
        <v>5382461.0506739449</v>
      </c>
      <c r="P94" s="29">
        <v>1845222</v>
      </c>
      <c r="Q94" s="29">
        <v>97116.947466302896</v>
      </c>
      <c r="R94" s="59"/>
      <c r="S94" s="30"/>
      <c r="T94" s="30"/>
      <c r="U94" s="61"/>
    </row>
    <row r="95" spans="1:21" ht="28.5" hidden="1" customHeight="1">
      <c r="A95" s="12" t="s">
        <v>171</v>
      </c>
      <c r="B95" s="22" t="s">
        <v>172</v>
      </c>
      <c r="C95" s="23">
        <v>25</v>
      </c>
      <c r="D95" s="24">
        <v>41085</v>
      </c>
      <c r="E95" s="25" t="s">
        <v>84</v>
      </c>
      <c r="F95" s="45" t="s">
        <v>154</v>
      </c>
      <c r="G95" s="26">
        <v>11</v>
      </c>
      <c r="H95" s="26">
        <v>6</v>
      </c>
      <c r="I95" s="26">
        <v>5</v>
      </c>
      <c r="J95" s="26">
        <v>1</v>
      </c>
      <c r="K95" s="27">
        <v>206.01</v>
      </c>
      <c r="L95" s="27">
        <v>173.41</v>
      </c>
      <c r="M95" s="27">
        <v>32.6</v>
      </c>
      <c r="N95" s="28">
        <v>9888480</v>
      </c>
      <c r="O95" s="29">
        <v>7266322.4184098262</v>
      </c>
      <c r="P95" s="29">
        <v>2491049.7000000002</v>
      </c>
      <c r="Q95" s="29">
        <v>131107.8790795086</v>
      </c>
      <c r="R95" s="59"/>
    </row>
    <row r="96" spans="1:21" ht="28.5" hidden="1" customHeight="1">
      <c r="A96" s="40" t="s">
        <v>173</v>
      </c>
      <c r="B96" s="22" t="s">
        <v>174</v>
      </c>
      <c r="C96" s="23">
        <v>24</v>
      </c>
      <c r="D96" s="24">
        <v>41085</v>
      </c>
      <c r="E96" s="25" t="s">
        <v>84</v>
      </c>
      <c r="F96" s="45" t="s">
        <v>154</v>
      </c>
      <c r="G96" s="26">
        <v>17</v>
      </c>
      <c r="H96" s="26">
        <v>7</v>
      </c>
      <c r="I96" s="26">
        <v>0</v>
      </c>
      <c r="J96" s="26">
        <v>7</v>
      </c>
      <c r="K96" s="27">
        <v>320.89</v>
      </c>
      <c r="L96" s="27">
        <v>0</v>
      </c>
      <c r="M96" s="27">
        <v>320.89</v>
      </c>
      <c r="N96" s="28">
        <v>15402720</v>
      </c>
      <c r="O96" s="29">
        <v>11318335.036374589</v>
      </c>
      <c r="P96" s="29">
        <v>3880165.72</v>
      </c>
      <c r="Q96" s="29">
        <v>204219.24</v>
      </c>
      <c r="R96" s="59"/>
    </row>
    <row r="97" spans="1:36" ht="26.25" hidden="1" customHeight="1">
      <c r="A97" s="40" t="s">
        <v>175</v>
      </c>
      <c r="B97" s="22" t="s">
        <v>176</v>
      </c>
      <c r="C97" s="43" t="s">
        <v>177</v>
      </c>
      <c r="D97" s="24">
        <v>41085</v>
      </c>
      <c r="E97" s="25" t="s">
        <v>84</v>
      </c>
      <c r="F97" s="45" t="s">
        <v>154</v>
      </c>
      <c r="G97" s="26">
        <v>2</v>
      </c>
      <c r="H97" s="26">
        <v>2</v>
      </c>
      <c r="I97" s="26">
        <v>2</v>
      </c>
      <c r="J97" s="26">
        <v>0</v>
      </c>
      <c r="K97" s="27">
        <v>44</v>
      </c>
      <c r="L97" s="27">
        <v>44</v>
      </c>
      <c r="M97" s="27">
        <v>0</v>
      </c>
      <c r="N97" s="28">
        <v>2112000</v>
      </c>
      <c r="O97" s="29">
        <v>1551954.6935101808</v>
      </c>
      <c r="P97" s="29">
        <v>532043.04</v>
      </c>
      <c r="Q97" s="29">
        <v>28002.27</v>
      </c>
      <c r="R97" s="59"/>
    </row>
    <row r="98" spans="1:36" ht="28.5" hidden="1" customHeight="1">
      <c r="A98" s="591" t="s">
        <v>178</v>
      </c>
      <c r="B98" s="592"/>
      <c r="C98" s="21" t="s">
        <v>28</v>
      </c>
      <c r="D98" s="21" t="s">
        <v>28</v>
      </c>
      <c r="E98" s="21" t="s">
        <v>28</v>
      </c>
      <c r="F98" s="21" t="s">
        <v>28</v>
      </c>
      <c r="G98" s="57">
        <f t="shared" ref="G98:Q98" si="25">G99</f>
        <v>16</v>
      </c>
      <c r="H98" s="57">
        <f t="shared" si="25"/>
        <v>8</v>
      </c>
      <c r="I98" s="57">
        <f t="shared" si="25"/>
        <v>4</v>
      </c>
      <c r="J98" s="57">
        <f t="shared" si="25"/>
        <v>4</v>
      </c>
      <c r="K98" s="56">
        <f t="shared" si="25"/>
        <v>188.42</v>
      </c>
      <c r="L98" s="56">
        <f t="shared" si="25"/>
        <v>93.52</v>
      </c>
      <c r="M98" s="56">
        <f t="shared" si="25"/>
        <v>94.899999999999991</v>
      </c>
      <c r="N98" s="28">
        <f t="shared" si="25"/>
        <v>9044160</v>
      </c>
      <c r="O98" s="29">
        <f>K98*37618*0.937628198728716</f>
        <v>6645893.2579815509</v>
      </c>
      <c r="P98" s="28">
        <f t="shared" si="25"/>
        <v>2278353.4049175265</v>
      </c>
      <c r="Q98" s="28">
        <f t="shared" si="25"/>
        <v>119913.3371009226</v>
      </c>
      <c r="R98" s="59"/>
      <c r="S98" s="30"/>
    </row>
    <row r="99" spans="1:36" ht="28.5" hidden="1" customHeight="1">
      <c r="A99" s="12" t="s">
        <v>179</v>
      </c>
      <c r="B99" s="34" t="s">
        <v>180</v>
      </c>
      <c r="C99" s="12" t="s">
        <v>181</v>
      </c>
      <c r="D99" s="36">
        <v>41582</v>
      </c>
      <c r="E99" s="25" t="s">
        <v>84</v>
      </c>
      <c r="F99" s="45" t="s">
        <v>154</v>
      </c>
      <c r="G99" s="57">
        <v>16</v>
      </c>
      <c r="H99" s="13">
        <v>8</v>
      </c>
      <c r="I99" s="13">
        <v>4</v>
      </c>
      <c r="J99" s="13">
        <v>4</v>
      </c>
      <c r="K99" s="56">
        <v>188.42</v>
      </c>
      <c r="L99" s="56">
        <v>93.52</v>
      </c>
      <c r="M99" s="56">
        <v>94.899999999999991</v>
      </c>
      <c r="N99" s="28">
        <f>K99*1.2*40000</f>
        <v>9044160</v>
      </c>
      <c r="O99" s="29">
        <f>K99*37618*0.937628198728716</f>
        <v>6645893.2579815509</v>
      </c>
      <c r="P99" s="29">
        <f>(N99-O99)*0.95</f>
        <v>2278353.4049175265</v>
      </c>
      <c r="Q99" s="29">
        <f>N99-O99-P99</f>
        <v>119913.3371009226</v>
      </c>
      <c r="R99" s="59"/>
      <c r="S99" s="30"/>
      <c r="T99" s="30"/>
      <c r="U99" s="61"/>
    </row>
    <row r="100" spans="1:36" ht="28.5" hidden="1" customHeight="1">
      <c r="A100" s="591" t="s">
        <v>54</v>
      </c>
      <c r="B100" s="592"/>
      <c r="C100" s="21" t="s">
        <v>28</v>
      </c>
      <c r="D100" s="21" t="s">
        <v>28</v>
      </c>
      <c r="E100" s="21" t="s">
        <v>28</v>
      </c>
      <c r="F100" s="21" t="s">
        <v>28</v>
      </c>
      <c r="G100" s="57">
        <f t="shared" ref="G100:Q100" si="26">SUM(G101,G102)</f>
        <v>70</v>
      </c>
      <c r="H100" s="57">
        <f t="shared" si="26"/>
        <v>25</v>
      </c>
      <c r="I100" s="57">
        <f t="shared" si="26"/>
        <v>9</v>
      </c>
      <c r="J100" s="57">
        <f t="shared" si="26"/>
        <v>16</v>
      </c>
      <c r="K100" s="56">
        <f t="shared" si="26"/>
        <v>630.22</v>
      </c>
      <c r="L100" s="56">
        <f t="shared" si="26"/>
        <v>237.19</v>
      </c>
      <c r="M100" s="56">
        <f t="shared" si="26"/>
        <v>393.03</v>
      </c>
      <c r="N100" s="28">
        <f t="shared" si="26"/>
        <v>30250559.999999996</v>
      </c>
      <c r="O100" s="29">
        <f>K100*37618*0.937628198728716</f>
        <v>22228929.24872696</v>
      </c>
      <c r="P100" s="28">
        <f t="shared" si="26"/>
        <v>7620549.2137093861</v>
      </c>
      <c r="Q100" s="28">
        <f t="shared" si="26"/>
        <v>401081.5375636518</v>
      </c>
      <c r="R100" s="59"/>
      <c r="S100" s="30"/>
    </row>
    <row r="101" spans="1:36" ht="28.5" hidden="1" customHeight="1">
      <c r="A101" s="12" t="s">
        <v>182</v>
      </c>
      <c r="B101" s="34" t="s">
        <v>183</v>
      </c>
      <c r="C101" s="35">
        <v>69</v>
      </c>
      <c r="D101" s="36">
        <v>41027</v>
      </c>
      <c r="E101" s="25" t="s">
        <v>84</v>
      </c>
      <c r="F101" s="45" t="s">
        <v>154</v>
      </c>
      <c r="G101" s="13">
        <v>52</v>
      </c>
      <c r="H101" s="13">
        <v>17</v>
      </c>
      <c r="I101" s="13">
        <v>4</v>
      </c>
      <c r="J101" s="13">
        <v>13</v>
      </c>
      <c r="K101" s="14">
        <v>360.21</v>
      </c>
      <c r="L101" s="14">
        <v>80.180000000000007</v>
      </c>
      <c r="M101" s="14">
        <v>280.02999999999997</v>
      </c>
      <c r="N101" s="28">
        <f>K101*1.2*40000</f>
        <v>17290079.999999996</v>
      </c>
      <c r="O101" s="29">
        <f>K101*37618*0.937628198728716</f>
        <v>12705218.185211414</v>
      </c>
      <c r="P101" s="29">
        <f>(N101-O101)*0.95</f>
        <v>4355618.7240491528</v>
      </c>
      <c r="Q101" s="29">
        <f>N101-O101-P101</f>
        <v>229243.090739429</v>
      </c>
      <c r="R101" s="59"/>
      <c r="S101" s="30"/>
      <c r="T101" s="30"/>
      <c r="U101" s="61"/>
    </row>
    <row r="102" spans="1:36" ht="28.5" hidden="1" customHeight="1">
      <c r="A102" s="12" t="s">
        <v>184</v>
      </c>
      <c r="B102" s="34" t="s">
        <v>185</v>
      </c>
      <c r="C102" s="12">
        <v>71</v>
      </c>
      <c r="D102" s="36">
        <v>41027</v>
      </c>
      <c r="E102" s="25" t="s">
        <v>84</v>
      </c>
      <c r="F102" s="45" t="s">
        <v>154</v>
      </c>
      <c r="G102" s="57">
        <v>18</v>
      </c>
      <c r="H102" s="13">
        <v>8</v>
      </c>
      <c r="I102" s="13">
        <v>5</v>
      </c>
      <c r="J102" s="13">
        <v>3</v>
      </c>
      <c r="K102" s="56">
        <v>270.01</v>
      </c>
      <c r="L102" s="56">
        <v>157.01</v>
      </c>
      <c r="M102" s="56">
        <v>113</v>
      </c>
      <c r="N102" s="28">
        <f>K102*1.2*40000</f>
        <v>12960480</v>
      </c>
      <c r="O102" s="29">
        <f>K102*37618*0.937628198728716</f>
        <v>9523711.0635155439</v>
      </c>
      <c r="P102" s="29">
        <f>(N102-O102)*0.95</f>
        <v>3264930.4896602333</v>
      </c>
      <c r="Q102" s="29">
        <f>N102-O102-P102</f>
        <v>171838.4468242228</v>
      </c>
      <c r="R102" s="59"/>
      <c r="S102" s="30"/>
      <c r="T102" s="30"/>
      <c r="U102" s="61"/>
    </row>
    <row r="103" spans="1:36" ht="28.5" customHeight="1">
      <c r="A103" s="601" t="s">
        <v>94</v>
      </c>
      <c r="B103" s="602"/>
      <c r="C103" s="50" t="s">
        <v>28</v>
      </c>
      <c r="D103" s="50" t="s">
        <v>28</v>
      </c>
      <c r="E103" s="50" t="s">
        <v>28</v>
      </c>
      <c r="F103" s="50" t="s">
        <v>28</v>
      </c>
      <c r="G103" s="63">
        <f>SUM(G104:G110)</f>
        <v>131</v>
      </c>
      <c r="H103" s="64">
        <f t="shared" ref="H103:Q103" si="27">SUM(H104:H110)</f>
        <v>46</v>
      </c>
      <c r="I103" s="64">
        <f t="shared" si="27"/>
        <v>28</v>
      </c>
      <c r="J103" s="64">
        <f t="shared" si="27"/>
        <v>18</v>
      </c>
      <c r="K103" s="65">
        <f t="shared" si="27"/>
        <v>1720.5800000000002</v>
      </c>
      <c r="L103" s="65">
        <f t="shared" si="27"/>
        <v>953.19</v>
      </c>
      <c r="M103" s="65">
        <f t="shared" si="27"/>
        <v>767.39</v>
      </c>
      <c r="N103" s="53">
        <f t="shared" si="27"/>
        <v>97040712</v>
      </c>
      <c r="O103" s="66">
        <f t="shared" si="27"/>
        <v>60687777.420000002</v>
      </c>
      <c r="P103" s="66">
        <f t="shared" si="27"/>
        <v>29082347.663999997</v>
      </c>
      <c r="Q103" s="66">
        <f t="shared" si="27"/>
        <v>7270586.9159999974</v>
      </c>
      <c r="R103" s="59"/>
      <c r="S103" s="30"/>
    </row>
    <row r="104" spans="1:36" ht="28.5" customHeight="1">
      <c r="A104" s="12" t="s">
        <v>186</v>
      </c>
      <c r="B104" s="34" t="s">
        <v>187</v>
      </c>
      <c r="C104" s="12" t="s">
        <v>188</v>
      </c>
      <c r="D104" s="36">
        <v>41234</v>
      </c>
      <c r="E104" s="25" t="s">
        <v>84</v>
      </c>
      <c r="F104" s="45" t="s">
        <v>154</v>
      </c>
      <c r="G104" s="57">
        <v>25</v>
      </c>
      <c r="H104" s="13">
        <v>10</v>
      </c>
      <c r="I104" s="13">
        <v>8</v>
      </c>
      <c r="J104" s="13">
        <v>2</v>
      </c>
      <c r="K104" s="56">
        <v>267.74</v>
      </c>
      <c r="L104" s="56">
        <v>200.35</v>
      </c>
      <c r="M104" s="56">
        <v>67.39</v>
      </c>
      <c r="N104" s="28">
        <f>K104*1.2*47000</f>
        <v>15100536</v>
      </c>
      <c r="O104" s="29">
        <v>9443644.3100000005</v>
      </c>
      <c r="P104" s="29">
        <f>(N104-O104)*0.8</f>
        <v>4525513.352</v>
      </c>
      <c r="Q104" s="29">
        <f>N104-O104-P104</f>
        <v>1131378.3379999995</v>
      </c>
      <c r="R104" s="59"/>
      <c r="S104" s="30"/>
      <c r="T104" s="67"/>
      <c r="U104" s="61"/>
      <c r="AJ104">
        <f>N104/K104</f>
        <v>56400</v>
      </c>
    </row>
    <row r="105" spans="1:36" ht="28.5" customHeight="1">
      <c r="A105" s="12" t="s">
        <v>189</v>
      </c>
      <c r="B105" s="34" t="s">
        <v>190</v>
      </c>
      <c r="C105" s="35" t="s">
        <v>191</v>
      </c>
      <c r="D105" s="36">
        <v>41099</v>
      </c>
      <c r="E105" s="25" t="s">
        <v>84</v>
      </c>
      <c r="F105" s="45" t="s">
        <v>154</v>
      </c>
      <c r="G105" s="13">
        <v>19</v>
      </c>
      <c r="H105" s="13">
        <v>4</v>
      </c>
      <c r="I105" s="13">
        <v>3</v>
      </c>
      <c r="J105" s="13">
        <v>1</v>
      </c>
      <c r="K105" s="14">
        <v>199.33</v>
      </c>
      <c r="L105" s="14">
        <v>149.29</v>
      </c>
      <c r="M105" s="14">
        <v>50.04</v>
      </c>
      <c r="N105" s="28">
        <f t="shared" ref="N105:N120" si="28">K105*1.2*47000</f>
        <v>11242212</v>
      </c>
      <c r="O105" s="29">
        <v>7030707.4800000004</v>
      </c>
      <c r="P105" s="29">
        <f t="shared" ref="P105:P110" si="29">(N105-O105)*0.8</f>
        <v>3369203.6159999999</v>
      </c>
      <c r="Q105" s="29">
        <f t="shared" ref="Q105:Q110" si="30">N105-O105-P105</f>
        <v>842300.90399999963</v>
      </c>
      <c r="R105" s="59"/>
      <c r="S105" s="30"/>
      <c r="T105" s="67"/>
      <c r="U105" s="61"/>
    </row>
    <row r="106" spans="1:36" ht="28.5" customHeight="1">
      <c r="A106" s="12" t="s">
        <v>192</v>
      </c>
      <c r="B106" s="34" t="s">
        <v>193</v>
      </c>
      <c r="C106" s="12" t="s">
        <v>194</v>
      </c>
      <c r="D106" s="36">
        <v>41713</v>
      </c>
      <c r="E106" s="25" t="s">
        <v>84</v>
      </c>
      <c r="F106" s="45" t="s">
        <v>154</v>
      </c>
      <c r="G106" s="57">
        <v>30</v>
      </c>
      <c r="H106" s="13">
        <v>9</v>
      </c>
      <c r="I106" s="13">
        <v>3</v>
      </c>
      <c r="J106" s="13">
        <v>6</v>
      </c>
      <c r="K106" s="56">
        <v>416.04</v>
      </c>
      <c r="L106" s="56">
        <v>152.65</v>
      </c>
      <c r="M106" s="56">
        <v>263.39</v>
      </c>
      <c r="N106" s="28">
        <f t="shared" si="28"/>
        <v>23464656</v>
      </c>
      <c r="O106" s="29">
        <v>14674437.060000001</v>
      </c>
      <c r="P106" s="29">
        <f t="shared" si="29"/>
        <v>7032175.1519999998</v>
      </c>
      <c r="Q106" s="29">
        <f t="shared" si="30"/>
        <v>1758043.7879999997</v>
      </c>
      <c r="R106" s="59"/>
      <c r="S106" s="30"/>
      <c r="T106" s="67"/>
      <c r="U106" s="61"/>
    </row>
    <row r="107" spans="1:36" ht="28.5" customHeight="1">
      <c r="A107" s="12" t="s">
        <v>195</v>
      </c>
      <c r="B107" s="34" t="s">
        <v>196</v>
      </c>
      <c r="C107" s="35" t="s">
        <v>197</v>
      </c>
      <c r="D107" s="36">
        <v>41250</v>
      </c>
      <c r="E107" s="25" t="s">
        <v>84</v>
      </c>
      <c r="F107" s="45" t="s">
        <v>154</v>
      </c>
      <c r="G107" s="13">
        <v>14</v>
      </c>
      <c r="H107" s="13">
        <v>7</v>
      </c>
      <c r="I107" s="13">
        <v>6</v>
      </c>
      <c r="J107" s="13">
        <v>1</v>
      </c>
      <c r="K107" s="14">
        <v>217.04</v>
      </c>
      <c r="L107" s="14">
        <v>162.94</v>
      </c>
      <c r="M107" s="14">
        <v>54.1</v>
      </c>
      <c r="N107" s="28">
        <f t="shared" si="28"/>
        <v>12241055.999999998</v>
      </c>
      <c r="O107" s="29">
        <v>7655369.2400000002</v>
      </c>
      <c r="P107" s="29">
        <f t="shared" si="29"/>
        <v>3668549.4079999984</v>
      </c>
      <c r="Q107" s="29">
        <f t="shared" si="30"/>
        <v>917137.35199999949</v>
      </c>
      <c r="R107" s="59"/>
      <c r="S107" s="30"/>
      <c r="T107" s="67"/>
      <c r="U107" s="61"/>
    </row>
    <row r="108" spans="1:36" ht="28.5" customHeight="1">
      <c r="A108" s="12" t="s">
        <v>198</v>
      </c>
      <c r="B108" s="34" t="s">
        <v>199</v>
      </c>
      <c r="C108" s="35" t="s">
        <v>200</v>
      </c>
      <c r="D108" s="36">
        <v>41215</v>
      </c>
      <c r="E108" s="25" t="s">
        <v>84</v>
      </c>
      <c r="F108" s="45" t="s">
        <v>154</v>
      </c>
      <c r="G108" s="13">
        <v>21</v>
      </c>
      <c r="H108" s="13">
        <v>6</v>
      </c>
      <c r="I108" s="13">
        <v>2</v>
      </c>
      <c r="J108" s="13">
        <v>4</v>
      </c>
      <c r="K108" s="14">
        <v>278.89999999999998</v>
      </c>
      <c r="L108" s="14">
        <v>51.83</v>
      </c>
      <c r="M108" s="14">
        <v>227.07</v>
      </c>
      <c r="N108" s="28">
        <f t="shared" si="28"/>
        <v>15729959.999999998</v>
      </c>
      <c r="O108" s="29">
        <v>9837276.4499999993</v>
      </c>
      <c r="P108" s="29">
        <f t="shared" si="29"/>
        <v>4714146.8399999989</v>
      </c>
      <c r="Q108" s="29">
        <f t="shared" si="30"/>
        <v>1178536.71</v>
      </c>
      <c r="R108" s="59"/>
      <c r="S108" s="30"/>
      <c r="T108" s="67"/>
      <c r="U108" s="61"/>
    </row>
    <row r="109" spans="1:36" ht="26.25" customHeight="1">
      <c r="A109" s="40" t="s">
        <v>201</v>
      </c>
      <c r="B109" s="22" t="s">
        <v>202</v>
      </c>
      <c r="C109" s="43" t="s">
        <v>203</v>
      </c>
      <c r="D109" s="24">
        <v>41661</v>
      </c>
      <c r="E109" s="45" t="s">
        <v>204</v>
      </c>
      <c r="F109" s="45" t="s">
        <v>205</v>
      </c>
      <c r="G109" s="26">
        <v>16</v>
      </c>
      <c r="H109" s="26">
        <v>7</v>
      </c>
      <c r="I109" s="26">
        <v>5</v>
      </c>
      <c r="J109" s="26">
        <v>2</v>
      </c>
      <c r="K109" s="27">
        <v>265.02</v>
      </c>
      <c r="L109" s="27">
        <v>219.42</v>
      </c>
      <c r="M109" s="27">
        <v>45.6</v>
      </c>
      <c r="N109" s="28">
        <f>K109*1.2*47000</f>
        <v>14947127.999999998</v>
      </c>
      <c r="O109" s="29">
        <v>9347705.2899999991</v>
      </c>
      <c r="P109" s="29">
        <f t="shared" si="29"/>
        <v>4479538.1679999996</v>
      </c>
      <c r="Q109" s="29">
        <f t="shared" si="30"/>
        <v>1119884.5419999994</v>
      </c>
      <c r="R109" s="59"/>
    </row>
    <row r="110" spans="1:36" ht="26.25" customHeight="1">
      <c r="A110" s="40" t="s">
        <v>206</v>
      </c>
      <c r="B110" s="22" t="s">
        <v>207</v>
      </c>
      <c r="C110" s="43" t="s">
        <v>208</v>
      </c>
      <c r="D110" s="24">
        <v>41362</v>
      </c>
      <c r="E110" s="45" t="s">
        <v>204</v>
      </c>
      <c r="F110" s="45" t="s">
        <v>205</v>
      </c>
      <c r="G110" s="26">
        <v>6</v>
      </c>
      <c r="H110" s="26">
        <v>3</v>
      </c>
      <c r="I110" s="26">
        <v>1</v>
      </c>
      <c r="J110" s="26">
        <v>2</v>
      </c>
      <c r="K110" s="27">
        <v>76.510000000000005</v>
      </c>
      <c r="L110" s="27">
        <v>16.71</v>
      </c>
      <c r="M110" s="27">
        <v>59.800000000000004</v>
      </c>
      <c r="N110" s="28">
        <f>K110*1.2*47000</f>
        <v>4315164</v>
      </c>
      <c r="O110" s="29">
        <v>2698637.59</v>
      </c>
      <c r="P110" s="29">
        <f t="shared" si="29"/>
        <v>1293221.1280000003</v>
      </c>
      <c r="Q110" s="29">
        <f t="shared" si="30"/>
        <v>323305.28199999989</v>
      </c>
      <c r="R110" s="59"/>
    </row>
    <row r="111" spans="1:36" ht="28.5" hidden="1" customHeight="1">
      <c r="A111" s="591" t="s">
        <v>209</v>
      </c>
      <c r="B111" s="592"/>
      <c r="C111" s="21" t="s">
        <v>28</v>
      </c>
      <c r="D111" s="21" t="s">
        <v>28</v>
      </c>
      <c r="E111" s="21" t="s">
        <v>28</v>
      </c>
      <c r="F111" s="21" t="s">
        <v>28</v>
      </c>
      <c r="G111" s="57">
        <f t="shared" ref="G111:Q111" si="31">SUM(G112:G116)</f>
        <v>100</v>
      </c>
      <c r="H111" s="57">
        <f t="shared" si="31"/>
        <v>44</v>
      </c>
      <c r="I111" s="57">
        <f t="shared" si="31"/>
        <v>39</v>
      </c>
      <c r="J111" s="57">
        <f t="shared" si="31"/>
        <v>5</v>
      </c>
      <c r="K111" s="56">
        <f t="shared" si="31"/>
        <v>1897.4</v>
      </c>
      <c r="L111" s="56">
        <f t="shared" si="31"/>
        <v>1681</v>
      </c>
      <c r="M111" s="56">
        <f t="shared" si="31"/>
        <v>216.4</v>
      </c>
      <c r="N111" s="28">
        <f t="shared" si="31"/>
        <v>107013360</v>
      </c>
      <c r="O111" s="29">
        <f>K111*37618*0.937628198728716</f>
        <v>66924518.98786857</v>
      </c>
      <c r="P111" s="28">
        <f t="shared" si="31"/>
        <v>32071072.812852181</v>
      </c>
      <c r="Q111" s="28">
        <f t="shared" si="31"/>
        <v>8017768.2024262827</v>
      </c>
      <c r="R111" s="59"/>
      <c r="S111" s="30"/>
    </row>
    <row r="112" spans="1:36" ht="28.5" hidden="1" customHeight="1">
      <c r="A112" s="12" t="s">
        <v>210</v>
      </c>
      <c r="B112" s="34" t="s">
        <v>211</v>
      </c>
      <c r="C112" s="35" t="s">
        <v>107</v>
      </c>
      <c r="D112" s="36">
        <v>42635</v>
      </c>
      <c r="E112" s="25" t="s">
        <v>84</v>
      </c>
      <c r="F112" s="45" t="s">
        <v>154</v>
      </c>
      <c r="G112" s="13">
        <v>29</v>
      </c>
      <c r="H112" s="13">
        <v>12</v>
      </c>
      <c r="I112" s="13">
        <v>11</v>
      </c>
      <c r="J112" s="13">
        <v>1</v>
      </c>
      <c r="K112" s="14">
        <v>393.8</v>
      </c>
      <c r="L112" s="14">
        <v>369.3</v>
      </c>
      <c r="M112" s="14">
        <v>24.5</v>
      </c>
      <c r="N112" s="28">
        <f t="shared" si="28"/>
        <v>22210320</v>
      </c>
      <c r="O112" s="29">
        <v>13889994.506916119</v>
      </c>
      <c r="P112" s="29">
        <v>6656260.3899999997</v>
      </c>
      <c r="Q112" s="29">
        <v>1664065.0986167761</v>
      </c>
      <c r="R112" s="59"/>
      <c r="S112" s="30"/>
      <c r="T112" s="67"/>
      <c r="U112" s="61"/>
    </row>
    <row r="113" spans="1:21" ht="28.5" hidden="1" customHeight="1">
      <c r="A113" s="12" t="s">
        <v>212</v>
      </c>
      <c r="B113" s="34" t="s">
        <v>213</v>
      </c>
      <c r="C113" s="35" t="s">
        <v>107</v>
      </c>
      <c r="D113" s="36">
        <v>42635</v>
      </c>
      <c r="E113" s="25" t="s">
        <v>84</v>
      </c>
      <c r="F113" s="45" t="s">
        <v>154</v>
      </c>
      <c r="G113" s="13">
        <v>16</v>
      </c>
      <c r="H113" s="13">
        <v>8</v>
      </c>
      <c r="I113" s="13">
        <v>6</v>
      </c>
      <c r="J113" s="13">
        <v>2</v>
      </c>
      <c r="K113" s="14">
        <v>361.8</v>
      </c>
      <c r="L113" s="14">
        <v>268.3</v>
      </c>
      <c r="M113" s="14">
        <v>93.5</v>
      </c>
      <c r="N113" s="28">
        <f t="shared" si="28"/>
        <v>20405520</v>
      </c>
      <c r="O113" s="29">
        <v>12761300.184363259</v>
      </c>
      <c r="P113" s="29">
        <v>6115375.8600000003</v>
      </c>
      <c r="Q113" s="29">
        <v>1528843.9631273476</v>
      </c>
      <c r="R113" s="59"/>
      <c r="S113" s="30"/>
      <c r="T113" s="67"/>
      <c r="U113" s="61"/>
    </row>
    <row r="114" spans="1:21" ht="28.5" hidden="1" customHeight="1">
      <c r="A114" s="21" t="s">
        <v>214</v>
      </c>
      <c r="B114" s="34" t="s">
        <v>215</v>
      </c>
      <c r="C114" s="12" t="s">
        <v>107</v>
      </c>
      <c r="D114" s="36">
        <v>42635</v>
      </c>
      <c r="E114" s="25" t="s">
        <v>84</v>
      </c>
      <c r="F114" s="45" t="s">
        <v>154</v>
      </c>
      <c r="G114" s="57">
        <v>15</v>
      </c>
      <c r="H114" s="13">
        <v>8</v>
      </c>
      <c r="I114" s="13">
        <v>8</v>
      </c>
      <c r="J114" s="13">
        <v>0</v>
      </c>
      <c r="K114" s="56">
        <v>361.6</v>
      </c>
      <c r="L114" s="56">
        <v>361.6</v>
      </c>
      <c r="M114" s="56">
        <v>0</v>
      </c>
      <c r="N114" s="28">
        <f t="shared" si="28"/>
        <v>20394240</v>
      </c>
      <c r="O114" s="29">
        <v>12754245.844847305</v>
      </c>
      <c r="P114" s="29">
        <v>6111995.3300000001</v>
      </c>
      <c r="Q114" s="29">
        <v>1527998.8310305383</v>
      </c>
      <c r="R114" s="59"/>
      <c r="S114" s="11"/>
      <c r="T114" s="67"/>
      <c r="U114" s="61"/>
    </row>
    <row r="115" spans="1:21" ht="28.5" hidden="1" customHeight="1">
      <c r="A115" s="21" t="s">
        <v>216</v>
      </c>
      <c r="B115" s="34" t="s">
        <v>217</v>
      </c>
      <c r="C115" s="12" t="s">
        <v>107</v>
      </c>
      <c r="D115" s="36">
        <v>42635</v>
      </c>
      <c r="E115" s="25" t="s">
        <v>84</v>
      </c>
      <c r="F115" s="45" t="s">
        <v>154</v>
      </c>
      <c r="G115" s="57">
        <v>17</v>
      </c>
      <c r="H115" s="13">
        <v>8</v>
      </c>
      <c r="I115" s="13">
        <v>8</v>
      </c>
      <c r="J115" s="13">
        <v>0</v>
      </c>
      <c r="K115" s="56">
        <v>389.3</v>
      </c>
      <c r="L115" s="56">
        <v>389.3</v>
      </c>
      <c r="M115" s="56">
        <v>0</v>
      </c>
      <c r="N115" s="28">
        <f t="shared" si="28"/>
        <v>21956520</v>
      </c>
      <c r="O115" s="29">
        <v>13731271.867807122</v>
      </c>
      <c r="P115" s="29">
        <v>6580198.5</v>
      </c>
      <c r="Q115" s="29">
        <v>1645049.6264385749</v>
      </c>
      <c r="R115" s="59"/>
      <c r="S115" s="11"/>
      <c r="T115" s="67"/>
      <c r="U115" s="61"/>
    </row>
    <row r="116" spans="1:21" ht="28.5" hidden="1" customHeight="1">
      <c r="A116" s="12" t="s">
        <v>218</v>
      </c>
      <c r="B116" s="34" t="s">
        <v>219</v>
      </c>
      <c r="C116" s="35" t="s">
        <v>107</v>
      </c>
      <c r="D116" s="36">
        <v>42635</v>
      </c>
      <c r="E116" s="25" t="s">
        <v>84</v>
      </c>
      <c r="F116" s="45" t="s">
        <v>154</v>
      </c>
      <c r="G116" s="13">
        <v>23</v>
      </c>
      <c r="H116" s="13">
        <v>8</v>
      </c>
      <c r="I116" s="13">
        <v>6</v>
      </c>
      <c r="J116" s="13">
        <v>2</v>
      </c>
      <c r="K116" s="14">
        <v>390.9</v>
      </c>
      <c r="L116" s="14">
        <v>292.5</v>
      </c>
      <c r="M116" s="14">
        <v>98.4</v>
      </c>
      <c r="N116" s="28">
        <f t="shared" si="28"/>
        <v>22046759.999999996</v>
      </c>
      <c r="O116" s="29">
        <v>13787706.59</v>
      </c>
      <c r="P116" s="29">
        <v>6607242.7328521851</v>
      </c>
      <c r="Q116" s="29">
        <v>1651810.6832130458</v>
      </c>
      <c r="R116" s="59"/>
      <c r="S116" s="11"/>
      <c r="T116" s="67"/>
      <c r="U116" s="61"/>
    </row>
    <row r="117" spans="1:21" ht="28.5" hidden="1" customHeight="1">
      <c r="A117" s="590" t="s">
        <v>220</v>
      </c>
      <c r="B117" s="590"/>
      <c r="C117" s="21" t="s">
        <v>28</v>
      </c>
      <c r="D117" s="21" t="s">
        <v>28</v>
      </c>
      <c r="E117" s="21" t="s">
        <v>28</v>
      </c>
      <c r="F117" s="12" t="s">
        <v>28</v>
      </c>
      <c r="G117" s="26">
        <f>SUM(G118:G120)</f>
        <v>89</v>
      </c>
      <c r="H117" s="26">
        <f t="shared" ref="H117:Q117" si="32">SUM(H118:H120)</f>
        <v>42</v>
      </c>
      <c r="I117" s="26">
        <f t="shared" si="32"/>
        <v>35</v>
      </c>
      <c r="J117" s="26">
        <f t="shared" si="32"/>
        <v>7</v>
      </c>
      <c r="K117" s="27">
        <f t="shared" si="32"/>
        <v>1344.77</v>
      </c>
      <c r="L117" s="27">
        <f t="shared" si="32"/>
        <v>1178.8600000000001</v>
      </c>
      <c r="M117" s="27">
        <f t="shared" si="32"/>
        <v>165.91</v>
      </c>
      <c r="N117" s="28">
        <f t="shared" si="32"/>
        <v>75845028</v>
      </c>
      <c r="O117" s="29">
        <f>K117*37618*0.937628198728716</f>
        <v>47432320.754356496</v>
      </c>
      <c r="P117" s="29">
        <f t="shared" si="32"/>
        <v>14206353.632814961</v>
      </c>
      <c r="Q117" s="29">
        <f t="shared" si="32"/>
        <v>14206353.620000001</v>
      </c>
      <c r="R117" s="16"/>
    </row>
    <row r="118" spans="1:21" ht="28.5" hidden="1" customHeight="1">
      <c r="A118" s="40" t="s">
        <v>221</v>
      </c>
      <c r="B118" s="22" t="s">
        <v>146</v>
      </c>
      <c r="C118" s="23">
        <v>30</v>
      </c>
      <c r="D118" s="24">
        <v>41593</v>
      </c>
      <c r="E118" s="25" t="s">
        <v>84</v>
      </c>
      <c r="F118" s="45" t="s">
        <v>154</v>
      </c>
      <c r="G118" s="26">
        <v>16</v>
      </c>
      <c r="H118" s="26">
        <v>5</v>
      </c>
      <c r="I118" s="26">
        <v>4</v>
      </c>
      <c r="J118" s="26">
        <v>1</v>
      </c>
      <c r="K118" s="27">
        <v>154.94999999999999</v>
      </c>
      <c r="L118" s="27">
        <v>124.95</v>
      </c>
      <c r="M118" s="27">
        <v>30</v>
      </c>
      <c r="N118" s="28">
        <f t="shared" si="28"/>
        <v>8739179.9999999981</v>
      </c>
      <c r="O118" s="29">
        <v>5465349.5300000003</v>
      </c>
      <c r="P118" s="29">
        <v>1636915.24</v>
      </c>
      <c r="Q118" s="29">
        <v>1636915.23</v>
      </c>
      <c r="R118" s="16"/>
    </row>
    <row r="119" spans="1:21" ht="28.5" hidden="1" customHeight="1">
      <c r="A119" s="40" t="s">
        <v>222</v>
      </c>
      <c r="B119" s="22" t="s">
        <v>223</v>
      </c>
      <c r="C119" s="23">
        <v>48</v>
      </c>
      <c r="D119" s="24">
        <v>41970</v>
      </c>
      <c r="E119" s="45" t="s">
        <v>154</v>
      </c>
      <c r="F119" s="45" t="s">
        <v>204</v>
      </c>
      <c r="G119" s="26">
        <v>44</v>
      </c>
      <c r="H119" s="26">
        <v>25</v>
      </c>
      <c r="I119" s="26">
        <v>19</v>
      </c>
      <c r="J119" s="26">
        <v>6</v>
      </c>
      <c r="K119" s="27">
        <v>802</v>
      </c>
      <c r="L119" s="27">
        <v>666.09</v>
      </c>
      <c r="M119" s="27">
        <v>135.91</v>
      </c>
      <c r="N119" s="28">
        <f t="shared" si="28"/>
        <v>45232800</v>
      </c>
      <c r="O119" s="29">
        <v>28287901.460000001</v>
      </c>
      <c r="P119" s="29">
        <v>8472449.2705094889</v>
      </c>
      <c r="Q119" s="28">
        <v>8472449.2699999996</v>
      </c>
      <c r="R119" s="16"/>
    </row>
    <row r="120" spans="1:21" ht="28.5" hidden="1" customHeight="1">
      <c r="A120" s="40" t="s">
        <v>224</v>
      </c>
      <c r="B120" s="22" t="s">
        <v>225</v>
      </c>
      <c r="C120" s="35">
        <v>3330</v>
      </c>
      <c r="D120" s="36">
        <v>42720</v>
      </c>
      <c r="E120" s="45" t="s">
        <v>204</v>
      </c>
      <c r="F120" s="45" t="s">
        <v>205</v>
      </c>
      <c r="G120" s="26">
        <v>29</v>
      </c>
      <c r="H120" s="26">
        <v>12</v>
      </c>
      <c r="I120" s="26">
        <v>12</v>
      </c>
      <c r="J120" s="26">
        <v>0</v>
      </c>
      <c r="K120" s="27">
        <v>387.82</v>
      </c>
      <c r="L120" s="27">
        <v>387.82</v>
      </c>
      <c r="M120" s="27">
        <v>0</v>
      </c>
      <c r="N120" s="28">
        <f t="shared" si="28"/>
        <v>21873047.999999996</v>
      </c>
      <c r="O120" s="29">
        <v>13679069.76</v>
      </c>
      <c r="P120" s="29">
        <v>4096989.1223054715</v>
      </c>
      <c r="Q120" s="28">
        <v>4096989.12</v>
      </c>
      <c r="R120" s="59"/>
    </row>
    <row r="121" spans="1:21" s="62" customFormat="1" ht="28.5" customHeight="1">
      <c r="A121" s="593" t="s">
        <v>226</v>
      </c>
      <c r="B121" s="594"/>
      <c r="C121" s="21" t="s">
        <v>28</v>
      </c>
      <c r="D121" s="21" t="s">
        <v>28</v>
      </c>
      <c r="E121" s="12" t="s">
        <v>28</v>
      </c>
      <c r="F121" s="12" t="s">
        <v>28</v>
      </c>
      <c r="G121" s="26"/>
      <c r="H121" s="26"/>
      <c r="I121" s="26"/>
      <c r="J121" s="26"/>
      <c r="K121" s="27"/>
      <c r="L121" s="27"/>
      <c r="M121" s="27"/>
      <c r="N121" s="28"/>
      <c r="O121" s="28"/>
      <c r="P121" s="28"/>
      <c r="Q121" s="28"/>
      <c r="R121" s="16"/>
      <c r="S121" s="68"/>
      <c r="T121" s="3"/>
      <c r="U121" s="1"/>
    </row>
    <row r="122" spans="1:21" ht="28.5" hidden="1" customHeight="1">
      <c r="A122" s="590" t="s">
        <v>87</v>
      </c>
      <c r="B122" s="590"/>
      <c r="C122" s="21" t="s">
        <v>28</v>
      </c>
      <c r="D122" s="21" t="s">
        <v>28</v>
      </c>
      <c r="E122" s="21" t="s">
        <v>28</v>
      </c>
      <c r="F122" s="12" t="s">
        <v>28</v>
      </c>
      <c r="G122" s="26">
        <f t="shared" ref="G122:Q122" si="33">SUM(G123:G130)</f>
        <v>52</v>
      </c>
      <c r="H122" s="26">
        <f t="shared" si="33"/>
        <v>23</v>
      </c>
      <c r="I122" s="26">
        <f t="shared" si="33"/>
        <v>10</v>
      </c>
      <c r="J122" s="26">
        <f t="shared" si="33"/>
        <v>13</v>
      </c>
      <c r="K122" s="27">
        <f t="shared" si="33"/>
        <v>979</v>
      </c>
      <c r="L122" s="27">
        <f t="shared" si="33"/>
        <v>442.4</v>
      </c>
      <c r="M122" s="27">
        <f t="shared" si="33"/>
        <v>536.6</v>
      </c>
      <c r="N122" s="28">
        <f t="shared" si="33"/>
        <v>46992000</v>
      </c>
      <c r="O122" s="28">
        <f t="shared" si="33"/>
        <v>30440310.762166306</v>
      </c>
      <c r="P122" s="28">
        <f t="shared" si="33"/>
        <v>15724104.78201944</v>
      </c>
      <c r="Q122" s="28">
        <f t="shared" si="33"/>
        <v>827584.45889168442</v>
      </c>
      <c r="R122" s="16"/>
    </row>
    <row r="123" spans="1:21" ht="28.5" hidden="1" customHeight="1">
      <c r="A123" s="40" t="s">
        <v>227</v>
      </c>
      <c r="B123" s="22" t="s">
        <v>228</v>
      </c>
      <c r="C123" s="23" t="s">
        <v>229</v>
      </c>
      <c r="D123" s="24">
        <v>41085</v>
      </c>
      <c r="E123" s="45" t="s">
        <v>154</v>
      </c>
      <c r="F123" s="45" t="s">
        <v>204</v>
      </c>
      <c r="G123" s="26">
        <v>2</v>
      </c>
      <c r="H123" s="26">
        <v>2</v>
      </c>
      <c r="I123" s="26">
        <v>0</v>
      </c>
      <c r="J123" s="26">
        <v>2</v>
      </c>
      <c r="K123" s="27">
        <v>94.2</v>
      </c>
      <c r="L123" s="27">
        <v>0</v>
      </c>
      <c r="M123" s="27">
        <v>94.2</v>
      </c>
      <c r="N123" s="28">
        <f t="shared" ref="N123:N130" si="34">K123*1.2*40000</f>
        <v>4521600</v>
      </c>
      <c r="O123" s="28">
        <v>2928985.98</v>
      </c>
      <c r="P123" s="29">
        <v>1512983.3196700239</v>
      </c>
      <c r="Q123" s="29">
        <v>79630.7</v>
      </c>
      <c r="R123" s="16"/>
    </row>
    <row r="124" spans="1:21" ht="28.5" hidden="1" customHeight="1">
      <c r="A124" s="40" t="s">
        <v>230</v>
      </c>
      <c r="B124" s="22" t="s">
        <v>231</v>
      </c>
      <c r="C124" s="23" t="s">
        <v>232</v>
      </c>
      <c r="D124" s="24">
        <v>41085</v>
      </c>
      <c r="E124" s="45" t="s">
        <v>154</v>
      </c>
      <c r="F124" s="45" t="s">
        <v>204</v>
      </c>
      <c r="G124" s="26">
        <v>2</v>
      </c>
      <c r="H124" s="26">
        <v>1</v>
      </c>
      <c r="I124" s="26">
        <v>0</v>
      </c>
      <c r="J124" s="26">
        <v>1</v>
      </c>
      <c r="K124" s="27">
        <v>46.3</v>
      </c>
      <c r="L124" s="27">
        <v>0</v>
      </c>
      <c r="M124" s="27">
        <v>46.3</v>
      </c>
      <c r="N124" s="28">
        <f t="shared" si="34"/>
        <v>2222400</v>
      </c>
      <c r="O124" s="28">
        <v>1439618.38</v>
      </c>
      <c r="P124" s="29">
        <v>743642.55</v>
      </c>
      <c r="Q124" s="29">
        <v>39139.07</v>
      </c>
      <c r="R124" s="16"/>
    </row>
    <row r="125" spans="1:21" ht="28.5" hidden="1" customHeight="1">
      <c r="A125" s="40" t="s">
        <v>233</v>
      </c>
      <c r="B125" s="22" t="s">
        <v>234</v>
      </c>
      <c r="C125" s="23" t="s">
        <v>235</v>
      </c>
      <c r="D125" s="24">
        <v>41085</v>
      </c>
      <c r="E125" s="45" t="s">
        <v>154</v>
      </c>
      <c r="F125" s="45" t="s">
        <v>204</v>
      </c>
      <c r="G125" s="26">
        <v>14</v>
      </c>
      <c r="H125" s="26">
        <v>4</v>
      </c>
      <c r="I125" s="26">
        <v>3</v>
      </c>
      <c r="J125" s="26">
        <v>1</v>
      </c>
      <c r="K125" s="27">
        <v>142.5</v>
      </c>
      <c r="L125" s="27">
        <v>107.1</v>
      </c>
      <c r="M125" s="27">
        <v>35.4</v>
      </c>
      <c r="N125" s="28">
        <f t="shared" si="34"/>
        <v>6840000</v>
      </c>
      <c r="O125" s="28">
        <v>4430790.8899999997</v>
      </c>
      <c r="P125" s="29">
        <v>2288748.6523670745</v>
      </c>
      <c r="Q125" s="29">
        <v>120460.46</v>
      </c>
      <c r="R125" s="16"/>
    </row>
    <row r="126" spans="1:21" ht="28.5" hidden="1" customHeight="1">
      <c r="A126" s="40" t="s">
        <v>236</v>
      </c>
      <c r="B126" s="22" t="s">
        <v>237</v>
      </c>
      <c r="C126" s="23" t="s">
        <v>238</v>
      </c>
      <c r="D126" s="24">
        <v>41085</v>
      </c>
      <c r="E126" s="45" t="s">
        <v>154</v>
      </c>
      <c r="F126" s="45" t="s">
        <v>204</v>
      </c>
      <c r="G126" s="26">
        <v>4</v>
      </c>
      <c r="H126" s="26">
        <v>2</v>
      </c>
      <c r="I126" s="26">
        <v>1</v>
      </c>
      <c r="J126" s="26">
        <v>1</v>
      </c>
      <c r="K126" s="27">
        <v>109.1</v>
      </c>
      <c r="L126" s="27">
        <v>60.8</v>
      </c>
      <c r="M126" s="27">
        <v>48.3</v>
      </c>
      <c r="N126" s="28">
        <f t="shared" si="34"/>
        <v>5236799.9999999991</v>
      </c>
      <c r="O126" s="28">
        <v>3392275.69</v>
      </c>
      <c r="P126" s="29">
        <v>1752298.0910403347</v>
      </c>
      <c r="Q126" s="29">
        <v>92226.22</v>
      </c>
      <c r="R126" s="16"/>
    </row>
    <row r="127" spans="1:21" ht="28.5" hidden="1" customHeight="1">
      <c r="A127" s="21" t="s">
        <v>239</v>
      </c>
      <c r="B127" s="22" t="s">
        <v>240</v>
      </c>
      <c r="C127" s="23" t="s">
        <v>241</v>
      </c>
      <c r="D127" s="24">
        <v>41085</v>
      </c>
      <c r="E127" s="45" t="s">
        <v>154</v>
      </c>
      <c r="F127" s="45" t="s">
        <v>204</v>
      </c>
      <c r="G127" s="26">
        <v>5</v>
      </c>
      <c r="H127" s="26">
        <v>4</v>
      </c>
      <c r="I127" s="26">
        <v>0</v>
      </c>
      <c r="J127" s="26">
        <v>4</v>
      </c>
      <c r="K127" s="27">
        <v>142.9</v>
      </c>
      <c r="L127" s="27">
        <v>0</v>
      </c>
      <c r="M127" s="27">
        <v>142.9</v>
      </c>
      <c r="N127" s="28">
        <f t="shared" si="34"/>
        <v>6859200</v>
      </c>
      <c r="O127" s="28">
        <v>4443228.2000128906</v>
      </c>
      <c r="P127" s="29">
        <v>2295173.209987754</v>
      </c>
      <c r="Q127" s="29">
        <v>120798.58999935538</v>
      </c>
      <c r="R127" s="16"/>
    </row>
    <row r="128" spans="1:21" ht="28.5" hidden="1" customHeight="1">
      <c r="A128" s="21" t="s">
        <v>242</v>
      </c>
      <c r="B128" s="22" t="s">
        <v>243</v>
      </c>
      <c r="C128" s="43" t="s">
        <v>244</v>
      </c>
      <c r="D128" s="24">
        <v>41085</v>
      </c>
      <c r="E128" s="45" t="s">
        <v>154</v>
      </c>
      <c r="F128" s="45" t="s">
        <v>204</v>
      </c>
      <c r="G128" s="26">
        <v>5</v>
      </c>
      <c r="H128" s="26">
        <v>2</v>
      </c>
      <c r="I128" s="26">
        <v>1</v>
      </c>
      <c r="J128" s="26">
        <v>1</v>
      </c>
      <c r="K128" s="27">
        <v>100.9</v>
      </c>
      <c r="L128" s="27">
        <v>71.900000000000006</v>
      </c>
      <c r="M128" s="27">
        <v>29</v>
      </c>
      <c r="N128" s="28">
        <f t="shared" si="34"/>
        <v>4843200</v>
      </c>
      <c r="O128" s="28">
        <v>3137310.8844037838</v>
      </c>
      <c r="P128" s="29">
        <v>1620594.6598164053</v>
      </c>
      <c r="Q128" s="29">
        <v>85294.455779810902</v>
      </c>
      <c r="R128" s="16"/>
    </row>
    <row r="129" spans="1:36" ht="28.5" hidden="1" customHeight="1">
      <c r="A129" s="40" t="s">
        <v>245</v>
      </c>
      <c r="B129" s="22" t="s">
        <v>246</v>
      </c>
      <c r="C129" s="43" t="s">
        <v>247</v>
      </c>
      <c r="D129" s="24">
        <v>41085</v>
      </c>
      <c r="E129" s="45" t="s">
        <v>154</v>
      </c>
      <c r="F129" s="45" t="s">
        <v>204</v>
      </c>
      <c r="G129" s="26">
        <v>9</v>
      </c>
      <c r="H129" s="26">
        <v>4</v>
      </c>
      <c r="I129" s="26">
        <v>2</v>
      </c>
      <c r="J129" s="26">
        <v>2</v>
      </c>
      <c r="K129" s="27">
        <v>165.4</v>
      </c>
      <c r="L129" s="27">
        <v>77.8</v>
      </c>
      <c r="M129" s="27">
        <v>87.6</v>
      </c>
      <c r="N129" s="28">
        <f t="shared" si="34"/>
        <v>7939200</v>
      </c>
      <c r="O129" s="28">
        <v>5142826.761946341</v>
      </c>
      <c r="P129" s="29">
        <v>2656554.5761509761</v>
      </c>
      <c r="Q129" s="29">
        <v>139818.66190268286</v>
      </c>
      <c r="R129" s="16"/>
    </row>
    <row r="130" spans="1:36" ht="28.5" hidden="1" customHeight="1">
      <c r="A130" s="40" t="s">
        <v>248</v>
      </c>
      <c r="B130" s="22" t="s">
        <v>249</v>
      </c>
      <c r="C130" s="43" t="s">
        <v>250</v>
      </c>
      <c r="D130" s="24">
        <v>41085</v>
      </c>
      <c r="E130" s="45" t="s">
        <v>154</v>
      </c>
      <c r="F130" s="45" t="s">
        <v>204</v>
      </c>
      <c r="G130" s="26">
        <v>11</v>
      </c>
      <c r="H130" s="26">
        <v>4</v>
      </c>
      <c r="I130" s="26">
        <v>3</v>
      </c>
      <c r="J130" s="26">
        <v>1</v>
      </c>
      <c r="K130" s="27">
        <v>177.7</v>
      </c>
      <c r="L130" s="27">
        <v>124.79999999999998</v>
      </c>
      <c r="M130" s="27">
        <v>52.9</v>
      </c>
      <c r="N130" s="28">
        <f t="shared" si="34"/>
        <v>8529600</v>
      </c>
      <c r="O130" s="28">
        <v>5525273.9758032933</v>
      </c>
      <c r="P130" s="29">
        <v>2854109.7229868714</v>
      </c>
      <c r="Q130" s="29">
        <v>150216.30120983534</v>
      </c>
      <c r="R130" s="16"/>
    </row>
    <row r="131" spans="1:36" ht="28.5" hidden="1" customHeight="1">
      <c r="A131" s="590" t="s">
        <v>54</v>
      </c>
      <c r="B131" s="590"/>
      <c r="C131" s="21" t="s">
        <v>28</v>
      </c>
      <c r="D131" s="21" t="s">
        <v>28</v>
      </c>
      <c r="E131" s="21" t="s">
        <v>28</v>
      </c>
      <c r="F131" s="12" t="s">
        <v>28</v>
      </c>
      <c r="G131" s="26">
        <f t="shared" ref="G131:M131" si="35">SUM(G132:G135)</f>
        <v>79</v>
      </c>
      <c r="H131" s="26">
        <f t="shared" si="35"/>
        <v>37</v>
      </c>
      <c r="I131" s="26">
        <f t="shared" si="35"/>
        <v>17</v>
      </c>
      <c r="J131" s="26">
        <f t="shared" si="35"/>
        <v>20</v>
      </c>
      <c r="K131" s="27">
        <f t="shared" si="35"/>
        <v>1189.49</v>
      </c>
      <c r="L131" s="27">
        <f t="shared" si="35"/>
        <v>592.30999999999995</v>
      </c>
      <c r="M131" s="27">
        <f t="shared" si="35"/>
        <v>597.18000000000006</v>
      </c>
      <c r="N131" s="28">
        <v>57095520</v>
      </c>
      <c r="O131" s="28">
        <v>36985133.041520879</v>
      </c>
      <c r="P131" s="28">
        <v>19104867.610555165</v>
      </c>
      <c r="Q131" s="28">
        <v>1005519.347923957</v>
      </c>
      <c r="R131" s="16"/>
    </row>
    <row r="132" spans="1:36" ht="28.5" hidden="1" customHeight="1">
      <c r="A132" s="40" t="s">
        <v>251</v>
      </c>
      <c r="B132" s="22" t="s">
        <v>252</v>
      </c>
      <c r="C132" s="21">
        <v>63</v>
      </c>
      <c r="D132" s="24">
        <v>41027</v>
      </c>
      <c r="E132" s="45" t="s">
        <v>154</v>
      </c>
      <c r="F132" s="45" t="s">
        <v>204</v>
      </c>
      <c r="G132" s="26">
        <v>11</v>
      </c>
      <c r="H132" s="26">
        <v>6</v>
      </c>
      <c r="I132" s="26">
        <v>5</v>
      </c>
      <c r="J132" s="26">
        <v>1</v>
      </c>
      <c r="K132" s="27">
        <v>238.27</v>
      </c>
      <c r="L132" s="27">
        <v>203.32</v>
      </c>
      <c r="M132" s="27">
        <v>34.950000000000003</v>
      </c>
      <c r="N132" s="28">
        <v>11436960</v>
      </c>
      <c r="O132" s="28">
        <v>7408593.2999999998</v>
      </c>
      <c r="P132" s="29">
        <v>3826948.36</v>
      </c>
      <c r="Q132" s="29">
        <v>201418.34</v>
      </c>
      <c r="R132" s="16"/>
    </row>
    <row r="133" spans="1:36" ht="28.5" hidden="1" customHeight="1">
      <c r="A133" s="21" t="s">
        <v>253</v>
      </c>
      <c r="B133" s="22" t="s">
        <v>254</v>
      </c>
      <c r="C133" s="43" t="s">
        <v>255</v>
      </c>
      <c r="D133" s="24">
        <v>41027</v>
      </c>
      <c r="E133" s="45" t="s">
        <v>154</v>
      </c>
      <c r="F133" s="45" t="s">
        <v>204</v>
      </c>
      <c r="G133" s="26">
        <v>4</v>
      </c>
      <c r="H133" s="26">
        <v>2</v>
      </c>
      <c r="I133" s="26">
        <v>1</v>
      </c>
      <c r="J133" s="26">
        <v>1</v>
      </c>
      <c r="K133" s="27">
        <v>91</v>
      </c>
      <c r="L133" s="27">
        <v>45.5</v>
      </c>
      <c r="M133" s="27">
        <v>45.5</v>
      </c>
      <c r="N133" s="28">
        <v>4368000</v>
      </c>
      <c r="O133" s="28">
        <v>2829487.52</v>
      </c>
      <c r="P133" s="29">
        <v>1461586.86</v>
      </c>
      <c r="Q133" s="29">
        <v>76925.62</v>
      </c>
      <c r="R133" s="16"/>
    </row>
    <row r="134" spans="1:36" ht="28.5" hidden="1" customHeight="1">
      <c r="A134" s="40" t="s">
        <v>256</v>
      </c>
      <c r="B134" s="22" t="s">
        <v>257</v>
      </c>
      <c r="C134" s="21">
        <v>65</v>
      </c>
      <c r="D134" s="24">
        <v>41027</v>
      </c>
      <c r="E134" s="45" t="s">
        <v>154</v>
      </c>
      <c r="F134" s="45" t="s">
        <v>204</v>
      </c>
      <c r="G134" s="26">
        <v>16</v>
      </c>
      <c r="H134" s="26">
        <v>11</v>
      </c>
      <c r="I134" s="26">
        <v>11</v>
      </c>
      <c r="J134" s="26">
        <v>0</v>
      </c>
      <c r="K134" s="27">
        <v>343.49</v>
      </c>
      <c r="L134" s="27">
        <v>343.49</v>
      </c>
      <c r="M134" s="27">
        <v>0</v>
      </c>
      <c r="N134" s="28">
        <v>16487520</v>
      </c>
      <c r="O134" s="28">
        <v>10680227.109999999</v>
      </c>
      <c r="P134" s="29">
        <v>5516928.2400000002</v>
      </c>
      <c r="Q134" s="29">
        <v>290364.65000000002</v>
      </c>
      <c r="R134" s="16"/>
    </row>
    <row r="135" spans="1:36" ht="28.5" hidden="1" customHeight="1">
      <c r="A135" s="40" t="s">
        <v>258</v>
      </c>
      <c r="B135" s="22" t="s">
        <v>259</v>
      </c>
      <c r="C135" s="23">
        <v>72</v>
      </c>
      <c r="D135" s="24">
        <v>41027</v>
      </c>
      <c r="E135" s="45" t="s">
        <v>154</v>
      </c>
      <c r="F135" s="45" t="s">
        <v>204</v>
      </c>
      <c r="G135" s="26">
        <v>48</v>
      </c>
      <c r="H135" s="26">
        <v>18</v>
      </c>
      <c r="I135" s="26">
        <v>0</v>
      </c>
      <c r="J135" s="26">
        <v>18</v>
      </c>
      <c r="K135" s="27">
        <v>516.73</v>
      </c>
      <c r="L135" s="27">
        <v>0</v>
      </c>
      <c r="M135" s="27">
        <v>516.73</v>
      </c>
      <c r="N135" s="28">
        <v>24803040</v>
      </c>
      <c r="O135" s="28">
        <v>16066825.109999999</v>
      </c>
      <c r="P135" s="29">
        <v>8299404.1500000004</v>
      </c>
      <c r="Q135" s="29">
        <v>436810.74</v>
      </c>
      <c r="R135" s="16"/>
    </row>
    <row r="136" spans="1:36" ht="28.5" customHeight="1">
      <c r="A136" s="594" t="s">
        <v>260</v>
      </c>
      <c r="B136" s="594"/>
      <c r="C136" s="50" t="s">
        <v>28</v>
      </c>
      <c r="D136" s="50" t="s">
        <v>28</v>
      </c>
      <c r="E136" s="50" t="s">
        <v>28</v>
      </c>
      <c r="F136" s="69" t="s">
        <v>28</v>
      </c>
      <c r="G136" s="51">
        <f t="shared" ref="G136:M136" si="36">SUM(G137:G146)</f>
        <v>244</v>
      </c>
      <c r="H136" s="51">
        <f t="shared" si="36"/>
        <v>85</v>
      </c>
      <c r="I136" s="51">
        <f t="shared" si="36"/>
        <v>49</v>
      </c>
      <c r="J136" s="51">
        <f t="shared" si="36"/>
        <v>36</v>
      </c>
      <c r="K136" s="52">
        <f t="shared" si="36"/>
        <v>2608.94</v>
      </c>
      <c r="L136" s="52">
        <f t="shared" si="36"/>
        <v>1501.08</v>
      </c>
      <c r="M136" s="52">
        <f t="shared" si="36"/>
        <v>1107.8599999999999</v>
      </c>
      <c r="N136" s="53">
        <f>SUM(N137:N146)</f>
        <v>147144216</v>
      </c>
      <c r="O136" s="53">
        <v>99123883.730000004</v>
      </c>
      <c r="P136" s="53">
        <v>38416265.82</v>
      </c>
      <c r="Q136" s="53">
        <v>9604066.4499999993</v>
      </c>
      <c r="R136" s="70"/>
    </row>
    <row r="137" spans="1:36" ht="28.5" customHeight="1">
      <c r="A137" s="40" t="s">
        <v>261</v>
      </c>
      <c r="B137" s="22" t="s">
        <v>262</v>
      </c>
      <c r="C137" s="43" t="s">
        <v>263</v>
      </c>
      <c r="D137" s="24">
        <v>41479</v>
      </c>
      <c r="E137" s="45" t="s">
        <v>154</v>
      </c>
      <c r="F137" s="45" t="s">
        <v>204</v>
      </c>
      <c r="G137" s="26">
        <v>20</v>
      </c>
      <c r="H137" s="26">
        <v>9</v>
      </c>
      <c r="I137" s="26">
        <v>6</v>
      </c>
      <c r="J137" s="26">
        <v>3</v>
      </c>
      <c r="K137" s="27">
        <v>269.99</v>
      </c>
      <c r="L137" s="27">
        <v>177.75</v>
      </c>
      <c r="M137" s="27">
        <v>92.24</v>
      </c>
      <c r="N137" s="28">
        <f>SUM(O137:Q137)</f>
        <v>15227436</v>
      </c>
      <c r="O137" s="28">
        <f>O136/K136*K137</f>
        <v>10257981.160265356</v>
      </c>
      <c r="P137" s="29">
        <f>P136/K136*K137</f>
        <v>3975563.8722016606</v>
      </c>
      <c r="Q137" s="29">
        <f>Q136/K136*K137</f>
        <v>993890.9675329827</v>
      </c>
      <c r="R137" s="16"/>
    </row>
    <row r="138" spans="1:36" ht="28.5" customHeight="1">
      <c r="A138" s="40" t="s">
        <v>264</v>
      </c>
      <c r="B138" s="22" t="s">
        <v>265</v>
      </c>
      <c r="C138" s="43" t="s">
        <v>266</v>
      </c>
      <c r="D138" s="24">
        <v>41297</v>
      </c>
      <c r="E138" s="45" t="s">
        <v>154</v>
      </c>
      <c r="F138" s="45" t="s">
        <v>204</v>
      </c>
      <c r="G138" s="26">
        <v>45</v>
      </c>
      <c r="H138" s="26">
        <v>15</v>
      </c>
      <c r="I138" s="26">
        <v>5</v>
      </c>
      <c r="J138" s="26">
        <v>10</v>
      </c>
      <c r="K138" s="27">
        <v>405.37</v>
      </c>
      <c r="L138" s="27">
        <v>136.35</v>
      </c>
      <c r="M138" s="27">
        <v>269.02</v>
      </c>
      <c r="N138" s="28">
        <f t="shared" ref="N138:N146" si="37">SUM(O138:Q138)</f>
        <v>22862868</v>
      </c>
      <c r="O138" s="28">
        <f t="shared" ref="O138:O146" si="38">O137/K137*K138</f>
        <v>15401599.403447416</v>
      </c>
      <c r="P138" s="29">
        <f t="shared" ref="P138:P146" si="39">P137/K137*K138</f>
        <v>5969014.8778635766</v>
      </c>
      <c r="Q138" s="29">
        <f t="shared" ref="Q138:Q146" si="40">Q137/K137*K138</f>
        <v>1492253.7186890077</v>
      </c>
      <c r="R138" s="16"/>
    </row>
    <row r="139" spans="1:36" ht="28.5" customHeight="1">
      <c r="A139" s="40" t="s">
        <v>267</v>
      </c>
      <c r="B139" s="22" t="s">
        <v>268</v>
      </c>
      <c r="C139" s="43" t="s">
        <v>269</v>
      </c>
      <c r="D139" s="24">
        <v>41311</v>
      </c>
      <c r="E139" s="45" t="s">
        <v>154</v>
      </c>
      <c r="F139" s="45" t="s">
        <v>204</v>
      </c>
      <c r="G139" s="26">
        <v>6</v>
      </c>
      <c r="H139" s="26">
        <v>5</v>
      </c>
      <c r="I139" s="26">
        <v>4</v>
      </c>
      <c r="J139" s="26">
        <v>1</v>
      </c>
      <c r="K139" s="27">
        <v>143.94999999999999</v>
      </c>
      <c r="L139" s="27">
        <v>117.45</v>
      </c>
      <c r="M139" s="27">
        <v>26.5</v>
      </c>
      <c r="N139" s="28">
        <f t="shared" si="37"/>
        <v>8118779.9999999991</v>
      </c>
      <c r="O139" s="28">
        <f t="shared" si="38"/>
        <v>5469226.2232682621</v>
      </c>
      <c r="P139" s="29">
        <f t="shared" si="39"/>
        <v>2119643.0216060928</v>
      </c>
      <c r="Q139" s="29">
        <f t="shared" si="40"/>
        <v>529910.75512564485</v>
      </c>
      <c r="R139" s="16"/>
    </row>
    <row r="140" spans="1:36" ht="28.5" customHeight="1">
      <c r="A140" s="40" t="s">
        <v>270</v>
      </c>
      <c r="B140" s="22" t="s">
        <v>271</v>
      </c>
      <c r="C140" s="43" t="s">
        <v>272</v>
      </c>
      <c r="D140" s="24">
        <v>41374</v>
      </c>
      <c r="E140" s="45" t="s">
        <v>154</v>
      </c>
      <c r="F140" s="45" t="s">
        <v>204</v>
      </c>
      <c r="G140" s="26">
        <v>37</v>
      </c>
      <c r="H140" s="26">
        <v>12</v>
      </c>
      <c r="I140" s="26">
        <v>2</v>
      </c>
      <c r="J140" s="26">
        <v>10</v>
      </c>
      <c r="K140" s="27">
        <v>372.58</v>
      </c>
      <c r="L140" s="27">
        <v>59.18</v>
      </c>
      <c r="M140" s="27">
        <v>313.39999999999998</v>
      </c>
      <c r="N140" s="28">
        <f t="shared" si="37"/>
        <v>21013512</v>
      </c>
      <c r="O140" s="28">
        <f t="shared" si="38"/>
        <v>14155778.438800203</v>
      </c>
      <c r="P140" s="29">
        <f t="shared" si="39"/>
        <v>5486186.8495310741</v>
      </c>
      <c r="Q140" s="29">
        <f t="shared" si="40"/>
        <v>1371546.7116687235</v>
      </c>
      <c r="R140" s="16"/>
      <c r="AJ140">
        <f>N140/K140</f>
        <v>56400</v>
      </c>
    </row>
    <row r="141" spans="1:36" ht="28.5" customHeight="1">
      <c r="A141" s="40" t="s">
        <v>273</v>
      </c>
      <c r="B141" s="22" t="s">
        <v>274</v>
      </c>
      <c r="C141" s="43" t="s">
        <v>275</v>
      </c>
      <c r="D141" s="24">
        <v>41373</v>
      </c>
      <c r="E141" s="45" t="s">
        <v>154</v>
      </c>
      <c r="F141" s="45" t="s">
        <v>204</v>
      </c>
      <c r="G141" s="26">
        <v>40</v>
      </c>
      <c r="H141" s="26">
        <v>16</v>
      </c>
      <c r="I141" s="26">
        <v>14</v>
      </c>
      <c r="J141" s="26">
        <v>2</v>
      </c>
      <c r="K141" s="27">
        <v>552.29999999999995</v>
      </c>
      <c r="L141" s="27">
        <v>482.5</v>
      </c>
      <c r="M141" s="27">
        <v>69.8</v>
      </c>
      <c r="N141" s="28">
        <f t="shared" si="37"/>
        <v>31149720</v>
      </c>
      <c r="O141" s="28">
        <f t="shared" si="38"/>
        <v>20984047.538110878</v>
      </c>
      <c r="P141" s="29">
        <f t="shared" si="39"/>
        <v>8132537.9703580765</v>
      </c>
      <c r="Q141" s="29">
        <f t="shared" si="40"/>
        <v>2033134.4915310431</v>
      </c>
      <c r="R141" s="16"/>
    </row>
    <row r="142" spans="1:36" ht="28.5" customHeight="1">
      <c r="A142" s="40" t="s">
        <v>276</v>
      </c>
      <c r="B142" s="22" t="s">
        <v>277</v>
      </c>
      <c r="C142" s="43" t="s">
        <v>278</v>
      </c>
      <c r="D142" s="24">
        <v>41247</v>
      </c>
      <c r="E142" s="45" t="s">
        <v>154</v>
      </c>
      <c r="F142" s="45" t="s">
        <v>204</v>
      </c>
      <c r="G142" s="26">
        <v>8</v>
      </c>
      <c r="H142" s="26">
        <v>3</v>
      </c>
      <c r="I142" s="26">
        <v>2</v>
      </c>
      <c r="J142" s="26">
        <v>1</v>
      </c>
      <c r="K142" s="27">
        <v>73.2</v>
      </c>
      <c r="L142" s="27">
        <v>53.7</v>
      </c>
      <c r="M142" s="27">
        <v>19.5</v>
      </c>
      <c r="N142" s="28">
        <f t="shared" si="37"/>
        <v>4128480</v>
      </c>
      <c r="O142" s="28">
        <f t="shared" si="38"/>
        <v>2781155.6758821593</v>
      </c>
      <c r="P142" s="29">
        <f t="shared" si="39"/>
        <v>1077859.4594065023</v>
      </c>
      <c r="Q142" s="29">
        <f t="shared" si="40"/>
        <v>269464.86471133871</v>
      </c>
      <c r="R142" s="16"/>
    </row>
    <row r="143" spans="1:36" ht="28.5" customHeight="1">
      <c r="A143" s="40" t="s">
        <v>279</v>
      </c>
      <c r="B143" s="22" t="s">
        <v>280</v>
      </c>
      <c r="C143" s="43" t="s">
        <v>281</v>
      </c>
      <c r="D143" s="24">
        <v>41304</v>
      </c>
      <c r="E143" s="45" t="s">
        <v>204</v>
      </c>
      <c r="F143" s="45" t="s">
        <v>205</v>
      </c>
      <c r="G143" s="26">
        <v>11</v>
      </c>
      <c r="H143" s="26">
        <v>3</v>
      </c>
      <c r="I143" s="26">
        <v>1</v>
      </c>
      <c r="J143" s="26">
        <v>2</v>
      </c>
      <c r="K143" s="27">
        <v>76.710000000000008</v>
      </c>
      <c r="L143" s="27">
        <v>43.6</v>
      </c>
      <c r="M143" s="27">
        <v>33.11</v>
      </c>
      <c r="N143" s="28">
        <f t="shared" si="37"/>
        <v>4326444</v>
      </c>
      <c r="O143" s="28">
        <f t="shared" si="38"/>
        <v>2914514.3701765086</v>
      </c>
      <c r="P143" s="29">
        <f t="shared" si="39"/>
        <v>1129543.7039764044</v>
      </c>
      <c r="Q143" s="29">
        <f t="shared" si="40"/>
        <v>282385.92584708735</v>
      </c>
      <c r="R143" s="59"/>
    </row>
    <row r="144" spans="1:36" ht="27" customHeight="1">
      <c r="A144" s="21" t="s">
        <v>284</v>
      </c>
      <c r="B144" s="22" t="s">
        <v>285</v>
      </c>
      <c r="C144" s="43" t="s">
        <v>286</v>
      </c>
      <c r="D144" s="24">
        <v>42016</v>
      </c>
      <c r="E144" s="45" t="s">
        <v>204</v>
      </c>
      <c r="F144" s="45" t="s">
        <v>205</v>
      </c>
      <c r="G144" s="26">
        <v>7</v>
      </c>
      <c r="H144" s="26">
        <v>4</v>
      </c>
      <c r="I144" s="26">
        <v>4</v>
      </c>
      <c r="J144" s="26">
        <v>0</v>
      </c>
      <c r="K144" s="27">
        <v>106.94</v>
      </c>
      <c r="L144" s="27">
        <v>106.94</v>
      </c>
      <c r="M144" s="27">
        <v>0</v>
      </c>
      <c r="N144" s="28">
        <f t="shared" si="37"/>
        <v>6031416</v>
      </c>
      <c r="O144" s="28">
        <f t="shared" si="38"/>
        <v>4063070.8740278427</v>
      </c>
      <c r="P144" s="29">
        <f t="shared" si="39"/>
        <v>1574676.1009416853</v>
      </c>
      <c r="Q144" s="29">
        <f t="shared" si="40"/>
        <v>393669.02503047214</v>
      </c>
      <c r="R144" s="59"/>
    </row>
    <row r="145" spans="1:35" ht="28.5" customHeight="1">
      <c r="A145" s="21" t="s">
        <v>287</v>
      </c>
      <c r="B145" s="22" t="s">
        <v>288</v>
      </c>
      <c r="C145" s="43" t="s">
        <v>289</v>
      </c>
      <c r="D145" s="24">
        <v>41730</v>
      </c>
      <c r="E145" s="45" t="s">
        <v>204</v>
      </c>
      <c r="F145" s="45" t="s">
        <v>205</v>
      </c>
      <c r="G145" s="26">
        <v>47</v>
      </c>
      <c r="H145" s="26">
        <v>6</v>
      </c>
      <c r="I145" s="26">
        <v>1</v>
      </c>
      <c r="J145" s="26">
        <v>5</v>
      </c>
      <c r="K145" s="27">
        <v>269.13</v>
      </c>
      <c r="L145" s="27">
        <v>56.2</v>
      </c>
      <c r="M145" s="27">
        <v>212.93</v>
      </c>
      <c r="N145" s="28">
        <f t="shared" si="37"/>
        <v>15178932</v>
      </c>
      <c r="O145" s="28">
        <f t="shared" si="38"/>
        <v>10225306.380466741</v>
      </c>
      <c r="P145" s="29">
        <f t="shared" si="39"/>
        <v>3962900.4960392346</v>
      </c>
      <c r="Q145" s="29">
        <f t="shared" si="40"/>
        <v>990725.12349402439</v>
      </c>
      <c r="R145" s="59"/>
    </row>
    <row r="146" spans="1:35" ht="28.5" customHeight="1">
      <c r="A146" s="21" t="s">
        <v>290</v>
      </c>
      <c r="B146" s="22" t="s">
        <v>291</v>
      </c>
      <c r="C146" s="43" t="s">
        <v>292</v>
      </c>
      <c r="D146" s="24">
        <v>42046</v>
      </c>
      <c r="E146" s="45" t="s">
        <v>204</v>
      </c>
      <c r="F146" s="45" t="s">
        <v>205</v>
      </c>
      <c r="G146" s="26">
        <v>23</v>
      </c>
      <c r="H146" s="26">
        <v>12</v>
      </c>
      <c r="I146" s="26">
        <v>10</v>
      </c>
      <c r="J146" s="26">
        <v>2</v>
      </c>
      <c r="K146" s="27">
        <v>338.77</v>
      </c>
      <c r="L146" s="27">
        <v>267.40999999999997</v>
      </c>
      <c r="M146" s="27">
        <v>71.36</v>
      </c>
      <c r="N146" s="28">
        <f t="shared" si="37"/>
        <v>19106628</v>
      </c>
      <c r="O146" s="28">
        <f t="shared" si="38"/>
        <v>12871203.665554632</v>
      </c>
      <c r="P146" s="29">
        <f t="shared" si="39"/>
        <v>4988339.4680756936</v>
      </c>
      <c r="Q146" s="29">
        <f t="shared" si="40"/>
        <v>1247084.8663696751</v>
      </c>
      <c r="R146" s="59"/>
    </row>
    <row r="147" spans="1:35">
      <c r="N147" s="451">
        <f>SUM(N137:N146)</f>
        <v>147144216</v>
      </c>
      <c r="O147" s="451">
        <f>SUM(O137:O146)</f>
        <v>99123883.730000004</v>
      </c>
      <c r="P147" s="451">
        <f t="shared" ref="P147:AI147" si="41">SUM(P137:P146)</f>
        <v>38416265.82</v>
      </c>
      <c r="Q147" s="451">
        <f t="shared" si="41"/>
        <v>9604066.4499999993</v>
      </c>
      <c r="R147" s="451">
        <f t="shared" si="41"/>
        <v>0</v>
      </c>
      <c r="S147" s="451">
        <f t="shared" si="41"/>
        <v>0</v>
      </c>
      <c r="T147" s="451">
        <f t="shared" si="41"/>
        <v>0</v>
      </c>
      <c r="U147" s="451">
        <f t="shared" si="41"/>
        <v>0</v>
      </c>
      <c r="V147" s="451">
        <f t="shared" si="41"/>
        <v>0</v>
      </c>
      <c r="W147" s="451">
        <f t="shared" si="41"/>
        <v>0</v>
      </c>
      <c r="X147" s="451">
        <f t="shared" si="41"/>
        <v>0</v>
      </c>
      <c r="Y147" s="451">
        <f t="shared" si="41"/>
        <v>0</v>
      </c>
      <c r="Z147" s="451">
        <f t="shared" si="41"/>
        <v>0</v>
      </c>
      <c r="AA147" s="451">
        <f t="shared" si="41"/>
        <v>0</v>
      </c>
      <c r="AB147" s="451">
        <f t="shared" si="41"/>
        <v>0</v>
      </c>
      <c r="AC147" s="451">
        <f t="shared" si="41"/>
        <v>0</v>
      </c>
      <c r="AD147" s="451">
        <f t="shared" si="41"/>
        <v>0</v>
      </c>
      <c r="AE147" s="451">
        <f t="shared" si="41"/>
        <v>0</v>
      </c>
      <c r="AF147" s="451">
        <f t="shared" si="41"/>
        <v>0</v>
      </c>
      <c r="AG147" s="451">
        <f t="shared" si="41"/>
        <v>0</v>
      </c>
      <c r="AH147" s="451">
        <f t="shared" si="41"/>
        <v>0</v>
      </c>
      <c r="AI147" s="451">
        <f t="shared" si="41"/>
        <v>0</v>
      </c>
    </row>
  </sheetData>
  <mergeCells count="70">
    <mergeCell ref="R39:R41"/>
    <mergeCell ref="A40:B40"/>
    <mergeCell ref="A136:B136"/>
    <mergeCell ref="A117:B117"/>
    <mergeCell ref="A121:B121"/>
    <mergeCell ref="A111:B111"/>
    <mergeCell ref="R79:R82"/>
    <mergeCell ref="A83:B83"/>
    <mergeCell ref="A90:B90"/>
    <mergeCell ref="A131:B131"/>
    <mergeCell ref="A100:B100"/>
    <mergeCell ref="A103:B103"/>
    <mergeCell ref="A122:B122"/>
    <mergeCell ref="A78:B78"/>
    <mergeCell ref="A64:B64"/>
    <mergeCell ref="A54:B54"/>
    <mergeCell ref="A98:B98"/>
    <mergeCell ref="A76:B76"/>
    <mergeCell ref="A87:B87"/>
    <mergeCell ref="A84:B84"/>
    <mergeCell ref="A33:B33"/>
    <mergeCell ref="A39:B39"/>
    <mergeCell ref="A42:B42"/>
    <mergeCell ref="A47:B47"/>
    <mergeCell ref="A43:B43"/>
    <mergeCell ref="A44:B44"/>
    <mergeCell ref="A60:B60"/>
    <mergeCell ref="A71:B71"/>
    <mergeCell ref="A50:B50"/>
    <mergeCell ref="A63:B63"/>
    <mergeCell ref="A67:B67"/>
    <mergeCell ref="A73:B73"/>
    <mergeCell ref="G8:G11"/>
    <mergeCell ref="A14:B14"/>
    <mergeCell ref="C11:C12"/>
    <mergeCell ref="D11:D12"/>
    <mergeCell ref="I10:I11"/>
    <mergeCell ref="A18:B18"/>
    <mergeCell ref="A19:B19"/>
    <mergeCell ref="A25:B25"/>
    <mergeCell ref="A28:B28"/>
    <mergeCell ref="A8:A12"/>
    <mergeCell ref="A16:B16"/>
    <mergeCell ref="A17:B17"/>
    <mergeCell ref="A15:B15"/>
    <mergeCell ref="L10:L11"/>
    <mergeCell ref="P9:P11"/>
    <mergeCell ref="N9:N11"/>
    <mergeCell ref="O9:O11"/>
    <mergeCell ref="H9:H11"/>
    <mergeCell ref="L9:M9"/>
    <mergeCell ref="K9:K11"/>
    <mergeCell ref="I9:J9"/>
    <mergeCell ref="J10:J11"/>
    <mergeCell ref="R8:R12"/>
    <mergeCell ref="O1:R1"/>
    <mergeCell ref="P2:R2"/>
    <mergeCell ref="P3:R3"/>
    <mergeCell ref="N4:Q4"/>
    <mergeCell ref="N5:Q5"/>
    <mergeCell ref="Q9:Q11"/>
    <mergeCell ref="A6:R6"/>
    <mergeCell ref="H8:J8"/>
    <mergeCell ref="K8:M8"/>
    <mergeCell ref="B8:B12"/>
    <mergeCell ref="C8:D10"/>
    <mergeCell ref="E8:E12"/>
    <mergeCell ref="F8:F12"/>
    <mergeCell ref="M10:M11"/>
    <mergeCell ref="N8:Q8"/>
  </mergeCells>
  <phoneticPr fontId="63" type="noConversion"/>
  <pageMargins left="0.27559055118110237" right="0" top="0" bottom="0" header="0.31496062992125984" footer="0.31496062992125984"/>
  <pageSetup paperSize="9" scale="74" firstPageNumber="25" fitToHeight="2" orientation="landscape" useFirstPageNumber="1" r:id="rId1"/>
  <headerFooter scaleWithDoc="0">
    <oddHeader>&amp;C&amp;"PT Astra Serif,обычный"&amp;14&amp;P</oddHeader>
  </headerFooter>
</worksheet>
</file>

<file path=xl/worksheets/sheet7.xml><?xml version="1.0" encoding="utf-8"?>
<worksheet xmlns="http://schemas.openxmlformats.org/spreadsheetml/2006/main" xmlns:r="http://schemas.openxmlformats.org/officeDocument/2006/relationships">
  <sheetPr>
    <pageSetUpPr fitToPage="1"/>
  </sheetPr>
  <dimension ref="A1:AJ155"/>
  <sheetViews>
    <sheetView topLeftCell="A8" zoomScale="85" zoomScaleNormal="85" workbookViewId="0">
      <pane xSplit="2" ySplit="5" topLeftCell="C121" activePane="bottomRight" state="frozen"/>
      <selection activeCell="A8" sqref="A8"/>
      <selection pane="topRight" activeCell="C8" sqref="C8"/>
      <selection pane="bottomLeft" activeCell="A13" sqref="A13"/>
      <selection pane="bottomRight" activeCell="O137" sqref="O137:Q146"/>
    </sheetView>
  </sheetViews>
  <sheetFormatPr defaultRowHeight="15"/>
  <cols>
    <col min="1" max="1" width="4.7109375" style="1" customWidth="1"/>
    <col min="2" max="2" width="28.7109375" style="1" customWidth="1"/>
    <col min="3" max="3" width="6" style="1" customWidth="1"/>
    <col min="4" max="4" width="10.28515625" style="1" customWidth="1"/>
    <col min="5" max="5" width="7" style="1" customWidth="1"/>
    <col min="6" max="6" width="6.85546875" style="1" customWidth="1"/>
    <col min="7" max="7" width="5.7109375" style="1" customWidth="1"/>
    <col min="8" max="8" width="5.42578125" style="1" customWidth="1"/>
    <col min="9" max="9" width="4.5703125" style="1" customWidth="1"/>
    <col min="10" max="10" width="4.28515625" style="1" customWidth="1"/>
    <col min="11" max="13" width="8.85546875" style="1" customWidth="1"/>
    <col min="14" max="14" width="22.5703125" style="1" customWidth="1"/>
    <col min="15" max="15" width="18.85546875" style="1" customWidth="1"/>
    <col min="16" max="16" width="14.5703125" style="1" customWidth="1"/>
    <col min="17" max="17" width="15.140625" style="1" customWidth="1"/>
    <col min="18" max="18" width="12.85546875" style="1" hidden="1" customWidth="1"/>
    <col min="19" max="19" width="16.5703125" style="1" hidden="1" customWidth="1"/>
    <col min="20" max="20" width="15.140625" style="3" hidden="1" customWidth="1"/>
    <col min="21" max="21" width="12.28515625" style="1" hidden="1" customWidth="1"/>
    <col min="22" max="35" width="0" hidden="1" customWidth="1"/>
  </cols>
  <sheetData>
    <row r="1" spans="1:19" ht="24" hidden="1">
      <c r="H1" s="2"/>
      <c r="I1" s="2"/>
      <c r="J1" s="2"/>
      <c r="K1" s="2"/>
      <c r="L1" s="2"/>
      <c r="O1" s="562" t="s">
        <v>0</v>
      </c>
      <c r="P1" s="562"/>
      <c r="Q1" s="562"/>
      <c r="R1" s="562"/>
    </row>
    <row r="2" spans="1:19" ht="25.5" customHeight="1">
      <c r="A2" s="4"/>
      <c r="B2" s="4"/>
      <c r="C2" s="4"/>
      <c r="D2" s="4"/>
      <c r="E2" s="4"/>
      <c r="F2" s="4"/>
      <c r="G2" s="4"/>
      <c r="H2" s="5"/>
      <c r="I2" s="5"/>
      <c r="J2" s="5"/>
      <c r="K2" s="5"/>
      <c r="L2" s="5"/>
      <c r="M2" s="4"/>
      <c r="N2" s="4"/>
      <c r="O2" s="6"/>
      <c r="P2" s="563" t="s">
        <v>0</v>
      </c>
      <c r="Q2" s="563"/>
      <c r="R2" s="563"/>
    </row>
    <row r="3" spans="1:19" ht="30.75" customHeight="1">
      <c r="A3" s="4"/>
      <c r="B3" s="4"/>
      <c r="C3" s="4"/>
      <c r="D3" s="4"/>
      <c r="E3" s="4"/>
      <c r="F3" s="4"/>
      <c r="G3" s="4"/>
      <c r="H3" s="5"/>
      <c r="I3" s="5"/>
      <c r="J3" s="5"/>
      <c r="K3" s="5"/>
      <c r="L3" s="5"/>
      <c r="M3" s="4"/>
      <c r="N3" s="4"/>
      <c r="O3" s="6"/>
      <c r="P3" s="563" t="s">
        <v>1</v>
      </c>
      <c r="Q3" s="563"/>
      <c r="R3" s="563"/>
    </row>
    <row r="4" spans="1:19" ht="59.25" customHeight="1">
      <c r="A4" s="4"/>
      <c r="B4" s="4"/>
      <c r="C4" s="4"/>
      <c r="D4" s="4"/>
      <c r="E4" s="4"/>
      <c r="F4" s="4"/>
      <c r="G4" s="4"/>
      <c r="H4" s="4"/>
      <c r="I4" s="4"/>
      <c r="J4" s="4"/>
      <c r="K4" s="4"/>
      <c r="L4" s="4"/>
      <c r="M4" s="4"/>
      <c r="N4" s="563"/>
      <c r="O4" s="563"/>
      <c r="P4" s="563"/>
      <c r="Q4" s="563"/>
      <c r="R4" s="4"/>
    </row>
    <row r="5" spans="1:19" ht="24.75" hidden="1">
      <c r="A5" s="4"/>
      <c r="B5" s="4"/>
      <c r="C5" s="4"/>
      <c r="D5" s="4"/>
      <c r="E5" s="4"/>
      <c r="F5" s="4"/>
      <c r="G5" s="4"/>
      <c r="H5" s="4"/>
      <c r="I5" s="4"/>
      <c r="J5" s="4"/>
      <c r="K5" s="4"/>
      <c r="L5" s="4"/>
      <c r="M5" s="4"/>
      <c r="N5" s="563"/>
      <c r="O5" s="563"/>
      <c r="P5" s="563"/>
      <c r="Q5" s="563"/>
      <c r="R5" s="4"/>
    </row>
    <row r="6" spans="1:19" ht="90.75" customHeight="1">
      <c r="A6" s="565" t="s">
        <v>2</v>
      </c>
      <c r="B6" s="565"/>
      <c r="C6" s="565"/>
      <c r="D6" s="565"/>
      <c r="E6" s="565"/>
      <c r="F6" s="565"/>
      <c r="G6" s="565"/>
      <c r="H6" s="565"/>
      <c r="I6" s="565"/>
      <c r="J6" s="565"/>
      <c r="K6" s="565"/>
      <c r="L6" s="565"/>
      <c r="M6" s="565"/>
      <c r="N6" s="565"/>
      <c r="O6" s="565"/>
      <c r="P6" s="565"/>
      <c r="Q6" s="565"/>
      <c r="R6" s="565"/>
    </row>
    <row r="7" spans="1:19" ht="6.75" customHeight="1">
      <c r="A7" s="7"/>
      <c r="B7" s="7"/>
      <c r="C7" s="7"/>
      <c r="D7" s="7"/>
      <c r="E7" s="7"/>
      <c r="F7" s="7"/>
      <c r="G7" s="7"/>
      <c r="H7" s="7"/>
      <c r="I7" s="7"/>
      <c r="J7" s="7"/>
      <c r="K7" s="7"/>
      <c r="L7" s="7"/>
      <c r="M7" s="7"/>
      <c r="N7" s="7"/>
      <c r="O7" s="7"/>
      <c r="P7" s="7"/>
      <c r="Q7" s="7"/>
      <c r="R7" s="7"/>
    </row>
    <row r="8" spans="1:19" ht="51" customHeight="1">
      <c r="A8" s="566" t="s">
        <v>3</v>
      </c>
      <c r="B8" s="566" t="s">
        <v>4</v>
      </c>
      <c r="C8" s="569" t="s">
        <v>5</v>
      </c>
      <c r="D8" s="570"/>
      <c r="E8" s="558" t="s">
        <v>6</v>
      </c>
      <c r="F8" s="558" t="s">
        <v>7</v>
      </c>
      <c r="G8" s="558" t="s">
        <v>8</v>
      </c>
      <c r="H8" s="566" t="s">
        <v>9</v>
      </c>
      <c r="I8" s="567"/>
      <c r="J8" s="567"/>
      <c r="K8" s="566" t="s">
        <v>10</v>
      </c>
      <c r="L8" s="567"/>
      <c r="M8" s="567"/>
      <c r="N8" s="568" t="s">
        <v>11</v>
      </c>
      <c r="O8" s="568"/>
      <c r="P8" s="568"/>
      <c r="Q8" s="568"/>
      <c r="R8" s="558" t="s">
        <v>12</v>
      </c>
    </row>
    <row r="9" spans="1:19">
      <c r="A9" s="566"/>
      <c r="B9" s="566"/>
      <c r="C9" s="571"/>
      <c r="D9" s="572"/>
      <c r="E9" s="559"/>
      <c r="F9" s="559"/>
      <c r="G9" s="559"/>
      <c r="H9" s="579" t="s">
        <v>13</v>
      </c>
      <c r="I9" s="582" t="s">
        <v>14</v>
      </c>
      <c r="J9" s="583"/>
      <c r="K9" s="584" t="s">
        <v>13</v>
      </c>
      <c r="L9" s="582" t="s">
        <v>14</v>
      </c>
      <c r="M9" s="583"/>
      <c r="N9" s="558" t="s">
        <v>15</v>
      </c>
      <c r="O9" s="576" t="s">
        <v>16</v>
      </c>
      <c r="P9" s="564" t="s">
        <v>17</v>
      </c>
      <c r="Q9" s="564" t="s">
        <v>18</v>
      </c>
      <c r="R9" s="559"/>
    </row>
    <row r="10" spans="1:19" ht="16.5" customHeight="1">
      <c r="A10" s="568"/>
      <c r="B10" s="568"/>
      <c r="C10" s="573"/>
      <c r="D10" s="574"/>
      <c r="E10" s="560"/>
      <c r="F10" s="560"/>
      <c r="G10" s="560"/>
      <c r="H10" s="580"/>
      <c r="I10" s="558" t="s">
        <v>19</v>
      </c>
      <c r="J10" s="558" t="s">
        <v>20</v>
      </c>
      <c r="K10" s="585"/>
      <c r="L10" s="558" t="s">
        <v>19</v>
      </c>
      <c r="M10" s="558" t="s">
        <v>20</v>
      </c>
      <c r="N10" s="559"/>
      <c r="O10" s="577"/>
      <c r="P10" s="564"/>
      <c r="Q10" s="564"/>
      <c r="R10" s="560"/>
    </row>
    <row r="11" spans="1:19" ht="72.75" customHeight="1">
      <c r="A11" s="568"/>
      <c r="B11" s="568"/>
      <c r="C11" s="579" t="s">
        <v>21</v>
      </c>
      <c r="D11" s="579" t="s">
        <v>22</v>
      </c>
      <c r="E11" s="560"/>
      <c r="F11" s="560"/>
      <c r="G11" s="560"/>
      <c r="H11" s="581"/>
      <c r="I11" s="575"/>
      <c r="J11" s="575"/>
      <c r="K11" s="586"/>
      <c r="L11" s="575"/>
      <c r="M11" s="575"/>
      <c r="N11" s="575"/>
      <c r="O11" s="578"/>
      <c r="P11" s="564"/>
      <c r="Q11" s="564"/>
      <c r="R11" s="560"/>
    </row>
    <row r="12" spans="1:19" ht="15.75" customHeight="1">
      <c r="A12" s="568"/>
      <c r="B12" s="568"/>
      <c r="C12" s="561"/>
      <c r="D12" s="561"/>
      <c r="E12" s="561"/>
      <c r="F12" s="561"/>
      <c r="G12" s="8" t="s">
        <v>23</v>
      </c>
      <c r="H12" s="8" t="s">
        <v>24</v>
      </c>
      <c r="I12" s="8" t="s">
        <v>24</v>
      </c>
      <c r="J12" s="8" t="s">
        <v>24</v>
      </c>
      <c r="K12" s="9" t="s">
        <v>25</v>
      </c>
      <c r="L12" s="8" t="s">
        <v>25</v>
      </c>
      <c r="M12" s="8" t="s">
        <v>25</v>
      </c>
      <c r="N12" s="10" t="s">
        <v>26</v>
      </c>
      <c r="O12" s="8" t="s">
        <v>26</v>
      </c>
      <c r="P12" s="8" t="s">
        <v>26</v>
      </c>
      <c r="Q12" s="8" t="s">
        <v>26</v>
      </c>
      <c r="R12" s="561"/>
    </row>
    <row r="13" spans="1:19">
      <c r="A13" s="8">
        <v>1</v>
      </c>
      <c r="B13" s="8">
        <v>2</v>
      </c>
      <c r="C13" s="8">
        <v>3</v>
      </c>
      <c r="D13" s="8">
        <v>4</v>
      </c>
      <c r="E13" s="8">
        <v>5</v>
      </c>
      <c r="F13" s="8">
        <v>6</v>
      </c>
      <c r="G13" s="8">
        <v>7</v>
      </c>
      <c r="H13" s="8">
        <v>8</v>
      </c>
      <c r="I13" s="8">
        <v>9</v>
      </c>
      <c r="J13" s="8">
        <v>10</v>
      </c>
      <c r="K13" s="8">
        <v>11</v>
      </c>
      <c r="L13" s="8">
        <v>12</v>
      </c>
      <c r="M13" s="8">
        <v>13</v>
      </c>
      <c r="N13" s="8">
        <v>14</v>
      </c>
      <c r="O13" s="8">
        <v>15</v>
      </c>
      <c r="P13" s="8">
        <v>16</v>
      </c>
      <c r="Q13" s="8">
        <v>17</v>
      </c>
      <c r="R13" s="8">
        <v>18</v>
      </c>
      <c r="S13" s="11"/>
    </row>
    <row r="14" spans="1:19" ht="26.25" hidden="1" customHeight="1">
      <c r="A14" s="588" t="s">
        <v>27</v>
      </c>
      <c r="B14" s="589"/>
      <c r="C14" s="12" t="s">
        <v>28</v>
      </c>
      <c r="D14" s="12" t="s">
        <v>28</v>
      </c>
      <c r="E14" s="12" t="s">
        <v>28</v>
      </c>
      <c r="F14" s="12" t="s">
        <v>28</v>
      </c>
      <c r="G14" s="13">
        <v>2731</v>
      </c>
      <c r="H14" s="13">
        <v>1204</v>
      </c>
      <c r="I14" s="13">
        <v>753</v>
      </c>
      <c r="J14" s="13">
        <v>451</v>
      </c>
      <c r="K14" s="14">
        <v>43059.06</v>
      </c>
      <c r="L14" s="14">
        <v>28207.42</v>
      </c>
      <c r="M14" s="14">
        <v>14851.64</v>
      </c>
      <c r="N14" s="15">
        <v>2115062869.48</v>
      </c>
      <c r="O14" s="15">
        <v>1321356200.55</v>
      </c>
      <c r="P14" s="15">
        <v>602352031.62</v>
      </c>
      <c r="Q14" s="15">
        <v>191354637.31</v>
      </c>
      <c r="R14" s="16"/>
      <c r="S14" s="17"/>
    </row>
    <row r="15" spans="1:19" ht="63" hidden="1" customHeight="1">
      <c r="A15" s="588" t="s">
        <v>29</v>
      </c>
      <c r="B15" s="589"/>
      <c r="C15" s="12" t="s">
        <v>28</v>
      </c>
      <c r="D15" s="12" t="s">
        <v>28</v>
      </c>
      <c r="E15" s="12" t="s">
        <v>28</v>
      </c>
      <c r="F15" s="12" t="s">
        <v>28</v>
      </c>
      <c r="G15" s="13" t="e">
        <f>SUM(G18,G43,G83,G121,#REF!,#REF!)</f>
        <v>#REF!</v>
      </c>
      <c r="H15" s="13" t="e">
        <f>SUM(H18,H43,H83,H121,#REF!,#REF!)</f>
        <v>#REF!</v>
      </c>
      <c r="I15" s="13" t="e">
        <f>SUM(I18,I43,I83,I121,#REF!,#REF!)</f>
        <v>#REF!</v>
      </c>
      <c r="J15" s="13" t="e">
        <f>SUM(J18,J43,J83,J121,#REF!,#REF!)</f>
        <v>#REF!</v>
      </c>
      <c r="K15" s="14" t="e">
        <f>SUM(K18,K43,K83,K121,#REF!,#REF!)</f>
        <v>#REF!</v>
      </c>
      <c r="L15" s="14" t="e">
        <f>SUM(L18,L43,L83,L121,#REF!,#REF!)</f>
        <v>#REF!</v>
      </c>
      <c r="M15" s="14" t="e">
        <f>SUM(M18,M43,M83,M121,#REF!,#REF!)</f>
        <v>#REF!</v>
      </c>
      <c r="N15" s="15">
        <v>2040469946.72</v>
      </c>
      <c r="O15" s="15">
        <v>1321356200.55</v>
      </c>
      <c r="P15" s="15">
        <v>531488755</v>
      </c>
      <c r="Q15" s="15">
        <v>187624991.17000002</v>
      </c>
      <c r="R15" s="16"/>
    </row>
    <row r="16" spans="1:19" ht="19.5" hidden="1" customHeight="1">
      <c r="A16" s="588" t="s">
        <v>30</v>
      </c>
      <c r="B16" s="589"/>
      <c r="C16" s="12" t="s">
        <v>28</v>
      </c>
      <c r="D16" s="12" t="s">
        <v>28</v>
      </c>
      <c r="E16" s="12" t="s">
        <v>28</v>
      </c>
      <c r="F16" s="12" t="s">
        <v>28</v>
      </c>
      <c r="G16" s="13">
        <f t="shared" ref="G16:Q16" si="0">SUM(G39,G63)</f>
        <v>129</v>
      </c>
      <c r="H16" s="13">
        <f t="shared" si="0"/>
        <v>59</v>
      </c>
      <c r="I16" s="13">
        <f t="shared" si="0"/>
        <v>30</v>
      </c>
      <c r="J16" s="13">
        <f t="shared" si="0"/>
        <v>29</v>
      </c>
      <c r="K16" s="14">
        <f t="shared" si="0"/>
        <v>2191.59</v>
      </c>
      <c r="L16" s="14">
        <f t="shared" si="0"/>
        <v>1233.5099999999998</v>
      </c>
      <c r="M16" s="14">
        <f t="shared" si="0"/>
        <v>958.08</v>
      </c>
      <c r="N16" s="15">
        <f t="shared" si="0"/>
        <v>74592922.75999999</v>
      </c>
      <c r="O16" s="15">
        <f t="shared" si="0"/>
        <v>0</v>
      </c>
      <c r="P16" s="15">
        <f t="shared" si="0"/>
        <v>70863276.620000005</v>
      </c>
      <c r="Q16" s="15">
        <f t="shared" si="0"/>
        <v>3729646.1399999997</v>
      </c>
      <c r="R16" s="16"/>
      <c r="S16" s="17"/>
    </row>
    <row r="17" spans="1:19" ht="18.75" hidden="1" customHeight="1">
      <c r="A17" s="587" t="s">
        <v>31</v>
      </c>
      <c r="B17" s="587"/>
      <c r="C17" s="12" t="s">
        <v>28</v>
      </c>
      <c r="D17" s="12" t="s">
        <v>28</v>
      </c>
      <c r="E17" s="12" t="s">
        <v>28</v>
      </c>
      <c r="F17" s="12" t="s">
        <v>28</v>
      </c>
      <c r="G17" s="13">
        <f t="shared" ref="G17:Q17" si="1">SUM(G18,G39)</f>
        <v>330</v>
      </c>
      <c r="H17" s="13">
        <f t="shared" si="1"/>
        <v>140</v>
      </c>
      <c r="I17" s="13">
        <f t="shared" si="1"/>
        <v>87</v>
      </c>
      <c r="J17" s="13">
        <f t="shared" si="1"/>
        <v>53</v>
      </c>
      <c r="K17" s="14">
        <f t="shared" si="1"/>
        <v>4696.0499999999993</v>
      </c>
      <c r="L17" s="14">
        <f t="shared" si="1"/>
        <v>3138.6600000000003</v>
      </c>
      <c r="M17" s="14">
        <f t="shared" si="1"/>
        <v>1557.39</v>
      </c>
      <c r="N17" s="15">
        <f t="shared" si="1"/>
        <v>184347313.75</v>
      </c>
      <c r="O17" s="15">
        <f t="shared" si="1"/>
        <v>142803575.34</v>
      </c>
      <c r="P17" s="15">
        <f t="shared" si="1"/>
        <v>31743666.219999999</v>
      </c>
      <c r="Q17" s="15">
        <f t="shared" si="1"/>
        <v>9800072.1899999995</v>
      </c>
      <c r="R17" s="16"/>
      <c r="S17" s="17"/>
    </row>
    <row r="18" spans="1:19" ht="27" hidden="1" customHeight="1">
      <c r="A18" s="587" t="s">
        <v>32</v>
      </c>
      <c r="B18" s="587"/>
      <c r="C18" s="12" t="s">
        <v>28</v>
      </c>
      <c r="D18" s="12" t="s">
        <v>28</v>
      </c>
      <c r="E18" s="12" t="s">
        <v>28</v>
      </c>
      <c r="F18" s="12" t="s">
        <v>28</v>
      </c>
      <c r="G18" s="18">
        <f t="shared" ref="G18:Q18" si="2">SUM(G19,G25,G28,G33)</f>
        <v>329</v>
      </c>
      <c r="H18" s="18">
        <f t="shared" si="2"/>
        <v>139</v>
      </c>
      <c r="I18" s="18">
        <f t="shared" si="2"/>
        <v>87</v>
      </c>
      <c r="J18" s="18">
        <f t="shared" si="2"/>
        <v>52</v>
      </c>
      <c r="K18" s="19">
        <f t="shared" si="2"/>
        <v>4675.1499999999996</v>
      </c>
      <c r="L18" s="19">
        <f t="shared" si="2"/>
        <v>3138.6600000000003</v>
      </c>
      <c r="M18" s="19">
        <f t="shared" si="2"/>
        <v>1536.49</v>
      </c>
      <c r="N18" s="15">
        <f t="shared" si="2"/>
        <v>184347313.75</v>
      </c>
      <c r="O18" s="15">
        <f t="shared" si="2"/>
        <v>142803575.34</v>
      </c>
      <c r="P18" s="15">
        <f t="shared" si="2"/>
        <v>31743666.219999999</v>
      </c>
      <c r="Q18" s="15">
        <f t="shared" si="2"/>
        <v>9800072.1899999995</v>
      </c>
      <c r="R18" s="16"/>
    </row>
    <row r="19" spans="1:19" ht="27" hidden="1" customHeight="1">
      <c r="A19" s="588" t="s">
        <v>33</v>
      </c>
      <c r="B19" s="589"/>
      <c r="C19" s="12" t="s">
        <v>28</v>
      </c>
      <c r="D19" s="12" t="s">
        <v>28</v>
      </c>
      <c r="E19" s="12" t="s">
        <v>28</v>
      </c>
      <c r="F19" s="12" t="s">
        <v>28</v>
      </c>
      <c r="G19" s="18">
        <f t="shared" ref="G19:Q19" si="3">SUM(G20:G24)</f>
        <v>104</v>
      </c>
      <c r="H19" s="18">
        <f t="shared" si="3"/>
        <v>50</v>
      </c>
      <c r="I19" s="18">
        <f t="shared" si="3"/>
        <v>28</v>
      </c>
      <c r="J19" s="18">
        <f t="shared" si="3"/>
        <v>22</v>
      </c>
      <c r="K19" s="19">
        <f t="shared" si="3"/>
        <v>1572.1299999999999</v>
      </c>
      <c r="L19" s="19">
        <f t="shared" si="3"/>
        <v>992.19</v>
      </c>
      <c r="M19" s="19">
        <f t="shared" si="3"/>
        <v>579.93999999999994</v>
      </c>
      <c r="N19" s="20">
        <f t="shared" si="3"/>
        <v>61028855.119999997</v>
      </c>
      <c r="O19" s="20">
        <f t="shared" si="3"/>
        <v>47789702.439999998</v>
      </c>
      <c r="P19" s="20">
        <f t="shared" si="3"/>
        <v>12577195.01</v>
      </c>
      <c r="Q19" s="20">
        <f t="shared" si="3"/>
        <v>661957.67000000004</v>
      </c>
      <c r="R19" s="16"/>
    </row>
    <row r="20" spans="1:19" ht="28.5" hidden="1" customHeight="1">
      <c r="A20" s="21" t="s">
        <v>34</v>
      </c>
      <c r="B20" s="22" t="s">
        <v>35</v>
      </c>
      <c r="C20" s="23">
        <v>154</v>
      </c>
      <c r="D20" s="24">
        <v>42444</v>
      </c>
      <c r="E20" s="25" t="s">
        <v>36</v>
      </c>
      <c r="F20" s="25" t="s">
        <v>37</v>
      </c>
      <c r="G20" s="26">
        <v>1</v>
      </c>
      <c r="H20" s="26">
        <v>1</v>
      </c>
      <c r="I20" s="26">
        <v>0</v>
      </c>
      <c r="J20" s="26">
        <v>1</v>
      </c>
      <c r="K20" s="27">
        <v>42.9</v>
      </c>
      <c r="L20" s="27">
        <v>0</v>
      </c>
      <c r="M20" s="27">
        <v>42.9</v>
      </c>
      <c r="N20" s="28">
        <v>1762422.2</v>
      </c>
      <c r="O20" s="28">
        <v>850429.48</v>
      </c>
      <c r="P20" s="29">
        <v>866393.08</v>
      </c>
      <c r="Q20" s="29">
        <v>45599.64</v>
      </c>
      <c r="R20" s="16"/>
      <c r="S20" s="30"/>
    </row>
    <row r="21" spans="1:19" ht="26.25" hidden="1" customHeight="1">
      <c r="A21" s="12" t="s">
        <v>38</v>
      </c>
      <c r="B21" s="22" t="s">
        <v>39</v>
      </c>
      <c r="C21" s="21" t="s">
        <v>40</v>
      </c>
      <c r="D21" s="24">
        <v>41999</v>
      </c>
      <c r="E21" s="25" t="s">
        <v>36</v>
      </c>
      <c r="F21" s="25" t="s">
        <v>37</v>
      </c>
      <c r="G21" s="31">
        <v>9</v>
      </c>
      <c r="H21" s="31">
        <v>7</v>
      </c>
      <c r="I21" s="31">
        <v>6</v>
      </c>
      <c r="J21" s="31">
        <v>1</v>
      </c>
      <c r="K21" s="32">
        <v>251.23</v>
      </c>
      <c r="L21" s="32">
        <v>227.23</v>
      </c>
      <c r="M21" s="32">
        <v>24</v>
      </c>
      <c r="N21" s="20">
        <v>9041977.9399999995</v>
      </c>
      <c r="O21" s="20">
        <v>7726413.75</v>
      </c>
      <c r="P21" s="15">
        <v>1249785.97</v>
      </c>
      <c r="Q21" s="15">
        <v>65778.22</v>
      </c>
      <c r="R21" s="33"/>
    </row>
    <row r="22" spans="1:19" ht="28.5" hidden="1" customHeight="1">
      <c r="A22" s="21" t="s">
        <v>41</v>
      </c>
      <c r="B22" s="22" t="s">
        <v>42</v>
      </c>
      <c r="C22" s="23">
        <v>217</v>
      </c>
      <c r="D22" s="24">
        <v>42486</v>
      </c>
      <c r="E22" s="25" t="s">
        <v>36</v>
      </c>
      <c r="F22" s="25" t="s">
        <v>37</v>
      </c>
      <c r="G22" s="26">
        <v>2</v>
      </c>
      <c r="H22" s="26">
        <v>1</v>
      </c>
      <c r="I22" s="26">
        <v>0</v>
      </c>
      <c r="J22" s="26">
        <v>1</v>
      </c>
      <c r="K22" s="27">
        <v>46</v>
      </c>
      <c r="L22" s="27">
        <v>0</v>
      </c>
      <c r="M22" s="27">
        <v>46</v>
      </c>
      <c r="N22" s="28">
        <v>1749343</v>
      </c>
      <c r="O22" s="28">
        <v>911882.42</v>
      </c>
      <c r="P22" s="29">
        <v>795587.55</v>
      </c>
      <c r="Q22" s="29">
        <v>41873.03</v>
      </c>
      <c r="R22" s="16"/>
    </row>
    <row r="23" spans="1:19" ht="26.25" hidden="1" customHeight="1">
      <c r="A23" s="21" t="s">
        <v>43</v>
      </c>
      <c r="B23" s="34" t="s">
        <v>44</v>
      </c>
      <c r="C23" s="35">
        <v>944</v>
      </c>
      <c r="D23" s="36">
        <v>42244</v>
      </c>
      <c r="E23" s="25" t="s">
        <v>36</v>
      </c>
      <c r="F23" s="25" t="s">
        <v>37</v>
      </c>
      <c r="G23" s="18">
        <v>86</v>
      </c>
      <c r="H23" s="18">
        <v>35</v>
      </c>
      <c r="I23" s="18">
        <v>17</v>
      </c>
      <c r="J23" s="18">
        <v>18</v>
      </c>
      <c r="K23" s="37">
        <v>1088.74</v>
      </c>
      <c r="L23" s="19">
        <v>637</v>
      </c>
      <c r="M23" s="19">
        <v>451.74</v>
      </c>
      <c r="N23" s="15">
        <v>43027952.159999996</v>
      </c>
      <c r="O23" s="38">
        <v>33847244.700000003</v>
      </c>
      <c r="P23" s="15">
        <v>8721672.0700000003</v>
      </c>
      <c r="Q23" s="15">
        <v>459035.39</v>
      </c>
      <c r="R23" s="16"/>
    </row>
    <row r="24" spans="1:19" ht="26.25" hidden="1" customHeight="1">
      <c r="A24" s="21" t="s">
        <v>45</v>
      </c>
      <c r="B24" s="22" t="s">
        <v>46</v>
      </c>
      <c r="C24" s="23" t="s">
        <v>40</v>
      </c>
      <c r="D24" s="24">
        <v>41288</v>
      </c>
      <c r="E24" s="25" t="s">
        <v>36</v>
      </c>
      <c r="F24" s="25" t="s">
        <v>37</v>
      </c>
      <c r="G24" s="31">
        <v>6</v>
      </c>
      <c r="H24" s="31">
        <v>6</v>
      </c>
      <c r="I24" s="31">
        <v>5</v>
      </c>
      <c r="J24" s="31">
        <v>1</v>
      </c>
      <c r="K24" s="32">
        <v>143.26</v>
      </c>
      <c r="L24" s="32">
        <v>127.96</v>
      </c>
      <c r="M24" s="32">
        <v>15.3</v>
      </c>
      <c r="N24" s="20">
        <v>5447159.8200000003</v>
      </c>
      <c r="O24" s="20">
        <v>4453732.09</v>
      </c>
      <c r="P24" s="15">
        <v>943756.34</v>
      </c>
      <c r="Q24" s="15">
        <v>49671.39</v>
      </c>
      <c r="R24" s="16"/>
    </row>
    <row r="25" spans="1:19" ht="28.5" hidden="1" customHeight="1">
      <c r="A25" s="588" t="s">
        <v>47</v>
      </c>
      <c r="B25" s="589"/>
      <c r="C25" s="12" t="s">
        <v>28</v>
      </c>
      <c r="D25" s="12" t="s">
        <v>28</v>
      </c>
      <c r="E25" s="12" t="s">
        <v>28</v>
      </c>
      <c r="F25" s="12" t="s">
        <v>28</v>
      </c>
      <c r="G25" s="39">
        <f t="shared" ref="G25:Q25" si="4">SUM(G26,G27)</f>
        <v>39</v>
      </c>
      <c r="H25" s="39">
        <f t="shared" si="4"/>
        <v>18</v>
      </c>
      <c r="I25" s="39">
        <f t="shared" si="4"/>
        <v>11</v>
      </c>
      <c r="J25" s="39">
        <f t="shared" si="4"/>
        <v>7</v>
      </c>
      <c r="K25" s="37">
        <f t="shared" si="4"/>
        <v>539.63</v>
      </c>
      <c r="L25" s="37">
        <f t="shared" si="4"/>
        <v>330.73</v>
      </c>
      <c r="M25" s="37">
        <f t="shared" si="4"/>
        <v>208.9</v>
      </c>
      <c r="N25" s="15">
        <f t="shared" si="4"/>
        <v>19003521.079999998</v>
      </c>
      <c r="O25" s="15">
        <f t="shared" si="4"/>
        <v>15322037.779999999</v>
      </c>
      <c r="P25" s="15">
        <f t="shared" si="4"/>
        <v>3497409.14</v>
      </c>
      <c r="Q25" s="15">
        <f t="shared" si="4"/>
        <v>184074.16</v>
      </c>
      <c r="R25" s="16"/>
    </row>
    <row r="26" spans="1:19" ht="28.5" hidden="1" customHeight="1">
      <c r="A26" s="12" t="s">
        <v>48</v>
      </c>
      <c r="B26" s="34" t="s">
        <v>49</v>
      </c>
      <c r="C26" s="35" t="s">
        <v>50</v>
      </c>
      <c r="D26" s="36">
        <v>41904</v>
      </c>
      <c r="E26" s="25" t="s">
        <v>36</v>
      </c>
      <c r="F26" s="25" t="s">
        <v>37</v>
      </c>
      <c r="G26" s="18">
        <v>29</v>
      </c>
      <c r="H26" s="18">
        <v>12</v>
      </c>
      <c r="I26" s="18">
        <v>6</v>
      </c>
      <c r="J26" s="18">
        <v>6</v>
      </c>
      <c r="K26" s="37">
        <v>385.3</v>
      </c>
      <c r="L26" s="19">
        <v>199.2</v>
      </c>
      <c r="M26" s="19">
        <v>186.1</v>
      </c>
      <c r="N26" s="15">
        <v>13429919</v>
      </c>
      <c r="O26" s="38">
        <v>10841352.859999999</v>
      </c>
      <c r="P26" s="15">
        <v>2459137.83</v>
      </c>
      <c r="Q26" s="15">
        <v>129428.31</v>
      </c>
      <c r="R26" s="16"/>
    </row>
    <row r="27" spans="1:19" ht="27.75" hidden="1" customHeight="1">
      <c r="A27" s="40" t="s">
        <v>51</v>
      </c>
      <c r="B27" s="34" t="s">
        <v>52</v>
      </c>
      <c r="C27" s="41" t="s">
        <v>53</v>
      </c>
      <c r="D27" s="36">
        <v>42479</v>
      </c>
      <c r="E27" s="25" t="s">
        <v>36</v>
      </c>
      <c r="F27" s="25" t="s">
        <v>37</v>
      </c>
      <c r="G27" s="18">
        <v>10</v>
      </c>
      <c r="H27" s="18">
        <v>6</v>
      </c>
      <c r="I27" s="18">
        <v>5</v>
      </c>
      <c r="J27" s="18">
        <v>1</v>
      </c>
      <c r="K27" s="19">
        <v>154.33000000000001</v>
      </c>
      <c r="L27" s="19">
        <v>131.53</v>
      </c>
      <c r="M27" s="19">
        <v>22.8</v>
      </c>
      <c r="N27" s="15">
        <v>5573602.0800000001</v>
      </c>
      <c r="O27" s="38">
        <v>4480684.92</v>
      </c>
      <c r="P27" s="15">
        <v>1038271.31</v>
      </c>
      <c r="Q27" s="15">
        <v>54645.85</v>
      </c>
      <c r="R27" s="16"/>
    </row>
    <row r="28" spans="1:19" ht="28.5" hidden="1" customHeight="1">
      <c r="A28" s="590" t="s">
        <v>54</v>
      </c>
      <c r="B28" s="590"/>
      <c r="C28" s="21" t="s">
        <v>28</v>
      </c>
      <c r="D28" s="21" t="s">
        <v>28</v>
      </c>
      <c r="E28" s="21" t="s">
        <v>28</v>
      </c>
      <c r="F28" s="21" t="s">
        <v>28</v>
      </c>
      <c r="G28" s="18">
        <f t="shared" ref="G28:M28" si="5">SUM(G29:G32)</f>
        <v>82</v>
      </c>
      <c r="H28" s="18">
        <f t="shared" si="5"/>
        <v>34</v>
      </c>
      <c r="I28" s="18">
        <f t="shared" si="5"/>
        <v>17</v>
      </c>
      <c r="J28" s="18">
        <f t="shared" si="5"/>
        <v>17</v>
      </c>
      <c r="K28" s="37">
        <f t="shared" si="5"/>
        <v>1119.1000000000001</v>
      </c>
      <c r="L28" s="37">
        <f t="shared" si="5"/>
        <v>637.94000000000005</v>
      </c>
      <c r="M28" s="37">
        <f t="shared" si="5"/>
        <v>481.15999999999997</v>
      </c>
      <c r="N28" s="15">
        <f>SUM(N29:N32)</f>
        <v>42254336.549999997</v>
      </c>
      <c r="O28" s="15">
        <f>SUM(O29:O32)</f>
        <v>34791090.18</v>
      </c>
      <c r="P28" s="15">
        <f>SUM(P29:P32)</f>
        <v>7089134.04</v>
      </c>
      <c r="Q28" s="15">
        <f>SUM(Q29:Q32)</f>
        <v>374112.33</v>
      </c>
      <c r="R28" s="33"/>
    </row>
    <row r="29" spans="1:19" ht="27" hidden="1" customHeight="1">
      <c r="A29" s="40" t="s">
        <v>55</v>
      </c>
      <c r="B29" s="42" t="s">
        <v>56</v>
      </c>
      <c r="C29" s="35">
        <v>67</v>
      </c>
      <c r="D29" s="36">
        <v>41024</v>
      </c>
      <c r="E29" s="25" t="s">
        <v>36</v>
      </c>
      <c r="F29" s="25" t="s">
        <v>37</v>
      </c>
      <c r="G29" s="18">
        <v>7</v>
      </c>
      <c r="H29" s="18">
        <v>4</v>
      </c>
      <c r="I29" s="18">
        <v>3</v>
      </c>
      <c r="J29" s="18">
        <v>1</v>
      </c>
      <c r="K29" s="37">
        <v>206.21</v>
      </c>
      <c r="L29" s="19">
        <v>155.65</v>
      </c>
      <c r="M29" s="19">
        <v>50.56</v>
      </c>
      <c r="N29" s="15">
        <v>7299828.5</v>
      </c>
      <c r="O29" s="38">
        <v>6410750.3399999999</v>
      </c>
      <c r="P29" s="15">
        <v>844624.25</v>
      </c>
      <c r="Q29" s="15">
        <v>44453.91</v>
      </c>
      <c r="R29" s="16"/>
    </row>
    <row r="30" spans="1:19" ht="28.5" hidden="1" customHeight="1">
      <c r="A30" s="21" t="s">
        <v>57</v>
      </c>
      <c r="B30" s="22" t="s">
        <v>58</v>
      </c>
      <c r="C30" s="43" t="s">
        <v>59</v>
      </c>
      <c r="D30" s="24">
        <v>41027</v>
      </c>
      <c r="E30" s="25" t="s">
        <v>36</v>
      </c>
      <c r="F30" s="25" t="s">
        <v>37</v>
      </c>
      <c r="G30" s="31">
        <v>9</v>
      </c>
      <c r="H30" s="31">
        <v>3</v>
      </c>
      <c r="I30" s="31">
        <v>1</v>
      </c>
      <c r="J30" s="31">
        <v>2</v>
      </c>
      <c r="K30" s="32">
        <v>118.5</v>
      </c>
      <c r="L30" s="32">
        <v>40.799999999999997</v>
      </c>
      <c r="M30" s="32">
        <v>77.7</v>
      </c>
      <c r="N30" s="20">
        <v>4152665.06</v>
      </c>
      <c r="O30" s="20">
        <v>3683981.94</v>
      </c>
      <c r="P30" s="15">
        <v>444298.96</v>
      </c>
      <c r="Q30" s="15">
        <v>24384.16</v>
      </c>
      <c r="R30" s="33"/>
    </row>
    <row r="31" spans="1:19" ht="28.5" hidden="1" customHeight="1">
      <c r="A31" s="40" t="s">
        <v>60</v>
      </c>
      <c r="B31" s="22" t="s">
        <v>61</v>
      </c>
      <c r="C31" s="23">
        <v>73</v>
      </c>
      <c r="D31" s="24">
        <v>41027</v>
      </c>
      <c r="E31" s="25" t="s">
        <v>36</v>
      </c>
      <c r="F31" s="25" t="s">
        <v>37</v>
      </c>
      <c r="G31" s="31">
        <v>42</v>
      </c>
      <c r="H31" s="31">
        <v>16</v>
      </c>
      <c r="I31" s="31">
        <v>13</v>
      </c>
      <c r="J31" s="31">
        <v>3</v>
      </c>
      <c r="K31" s="32">
        <v>543.69000000000005</v>
      </c>
      <c r="L31" s="32">
        <v>441.49</v>
      </c>
      <c r="M31" s="32">
        <v>102.2</v>
      </c>
      <c r="N31" s="20">
        <v>19259448.989999998</v>
      </c>
      <c r="O31" s="20">
        <v>16902482.190000001</v>
      </c>
      <c r="P31" s="15">
        <v>2239118.46</v>
      </c>
      <c r="Q31" s="15">
        <v>117848.34</v>
      </c>
      <c r="R31" s="33"/>
    </row>
    <row r="32" spans="1:19" ht="27.75" hidden="1" customHeight="1">
      <c r="A32" s="40" t="s">
        <v>62</v>
      </c>
      <c r="B32" s="42" t="s">
        <v>63</v>
      </c>
      <c r="C32" s="44">
        <v>68</v>
      </c>
      <c r="D32" s="36">
        <v>41027</v>
      </c>
      <c r="E32" s="25" t="s">
        <v>36</v>
      </c>
      <c r="F32" s="25" t="s">
        <v>37</v>
      </c>
      <c r="G32" s="18">
        <v>24</v>
      </c>
      <c r="H32" s="18">
        <v>11</v>
      </c>
      <c r="I32" s="18">
        <v>0</v>
      </c>
      <c r="J32" s="18">
        <v>11</v>
      </c>
      <c r="K32" s="37">
        <v>250.7</v>
      </c>
      <c r="L32" s="19">
        <v>0</v>
      </c>
      <c r="M32" s="19">
        <v>250.7</v>
      </c>
      <c r="N32" s="15">
        <v>11542394</v>
      </c>
      <c r="O32" s="38">
        <v>7793875.71</v>
      </c>
      <c r="P32" s="15">
        <v>3561092.37</v>
      </c>
      <c r="Q32" s="15">
        <v>187425.92000000001</v>
      </c>
      <c r="R32" s="16"/>
    </row>
    <row r="33" spans="1:20" ht="28.5" hidden="1" customHeight="1">
      <c r="A33" s="588" t="s">
        <v>64</v>
      </c>
      <c r="B33" s="589"/>
      <c r="C33" s="12" t="s">
        <v>28</v>
      </c>
      <c r="D33" s="12" t="s">
        <v>28</v>
      </c>
      <c r="E33" s="12" t="s">
        <v>28</v>
      </c>
      <c r="F33" s="12" t="s">
        <v>28</v>
      </c>
      <c r="G33" s="31">
        <f t="shared" ref="G33:M33" si="6">SUM(G34:G38)</f>
        <v>104</v>
      </c>
      <c r="H33" s="31">
        <f t="shared" si="6"/>
        <v>37</v>
      </c>
      <c r="I33" s="31">
        <f t="shared" si="6"/>
        <v>31</v>
      </c>
      <c r="J33" s="31">
        <f t="shared" si="6"/>
        <v>6</v>
      </c>
      <c r="K33" s="32">
        <f t="shared" si="6"/>
        <v>1444.29</v>
      </c>
      <c r="L33" s="32">
        <f t="shared" si="6"/>
        <v>1177.8000000000002</v>
      </c>
      <c r="M33" s="32">
        <f t="shared" si="6"/>
        <v>266.49</v>
      </c>
      <c r="N33" s="38">
        <f>SUM(N34:N38)</f>
        <v>62060601</v>
      </c>
      <c r="O33" s="38">
        <f>SUM(O34:O38)</f>
        <v>44900744.939999998</v>
      </c>
      <c r="P33" s="38">
        <f>SUM(P34:P38)</f>
        <v>8579928.0299999993</v>
      </c>
      <c r="Q33" s="38">
        <f>SUM(Q34:Q38)</f>
        <v>8579928.0299999993</v>
      </c>
      <c r="R33" s="16"/>
    </row>
    <row r="34" spans="1:20" ht="28.5" hidden="1" customHeight="1">
      <c r="A34" s="40" t="s">
        <v>65</v>
      </c>
      <c r="B34" s="22" t="s">
        <v>66</v>
      </c>
      <c r="C34" s="21">
        <v>51</v>
      </c>
      <c r="D34" s="24">
        <v>41206</v>
      </c>
      <c r="E34" s="25" t="s">
        <v>36</v>
      </c>
      <c r="F34" s="25" t="s">
        <v>37</v>
      </c>
      <c r="G34" s="31">
        <v>17</v>
      </c>
      <c r="H34" s="31">
        <v>7</v>
      </c>
      <c r="I34" s="31">
        <v>5</v>
      </c>
      <c r="J34" s="31">
        <v>2</v>
      </c>
      <c r="K34" s="32">
        <v>322.40999999999997</v>
      </c>
      <c r="L34" s="32">
        <v>210.82</v>
      </c>
      <c r="M34" s="32">
        <v>111.59</v>
      </c>
      <c r="N34" s="20">
        <v>13328000</v>
      </c>
      <c r="O34" s="38">
        <v>10023228.84</v>
      </c>
      <c r="P34" s="15">
        <v>1652385.58</v>
      </c>
      <c r="Q34" s="15">
        <v>1652385.58</v>
      </c>
      <c r="R34" s="33"/>
    </row>
    <row r="35" spans="1:20" ht="28.5" hidden="1" customHeight="1">
      <c r="A35" s="12" t="s">
        <v>67</v>
      </c>
      <c r="B35" s="34" t="s">
        <v>68</v>
      </c>
      <c r="C35" s="35">
        <v>3330</v>
      </c>
      <c r="D35" s="36">
        <v>42720</v>
      </c>
      <c r="E35" s="25" t="s">
        <v>36</v>
      </c>
      <c r="F35" s="25" t="s">
        <v>37</v>
      </c>
      <c r="G35" s="18">
        <v>5</v>
      </c>
      <c r="H35" s="18">
        <v>1</v>
      </c>
      <c r="I35" s="18">
        <v>0</v>
      </c>
      <c r="J35" s="18">
        <v>1</v>
      </c>
      <c r="K35" s="19">
        <v>45.79</v>
      </c>
      <c r="L35" s="19">
        <v>0</v>
      </c>
      <c r="M35" s="19">
        <v>45.79</v>
      </c>
      <c r="N35" s="20">
        <v>2151146.83</v>
      </c>
      <c r="O35" s="20">
        <v>1423540.36</v>
      </c>
      <c r="P35" s="15">
        <v>363803.24</v>
      </c>
      <c r="Q35" s="15">
        <v>363803.23</v>
      </c>
      <c r="R35" s="16"/>
    </row>
    <row r="36" spans="1:20" ht="28.5" hidden="1" customHeight="1">
      <c r="A36" s="12" t="s">
        <v>69</v>
      </c>
      <c r="B36" s="34" t="s">
        <v>70</v>
      </c>
      <c r="C36" s="35">
        <v>3330</v>
      </c>
      <c r="D36" s="36">
        <v>42720</v>
      </c>
      <c r="E36" s="25" t="s">
        <v>36</v>
      </c>
      <c r="F36" s="25" t="s">
        <v>37</v>
      </c>
      <c r="G36" s="39">
        <v>36</v>
      </c>
      <c r="H36" s="18">
        <v>12</v>
      </c>
      <c r="I36" s="18">
        <v>11</v>
      </c>
      <c r="J36" s="18">
        <v>1</v>
      </c>
      <c r="K36" s="37">
        <v>436.08</v>
      </c>
      <c r="L36" s="37">
        <v>399.38</v>
      </c>
      <c r="M36" s="37">
        <v>36.700000000000003</v>
      </c>
      <c r="N36" s="15">
        <v>18903500</v>
      </c>
      <c r="O36" s="38">
        <v>13557053.539999999</v>
      </c>
      <c r="P36" s="15">
        <v>2673223.23</v>
      </c>
      <c r="Q36" s="15">
        <v>2673223.23</v>
      </c>
      <c r="R36" s="16"/>
    </row>
    <row r="37" spans="1:20" ht="28.5" hidden="1" customHeight="1">
      <c r="A37" s="12" t="s">
        <v>71</v>
      </c>
      <c r="B37" s="34" t="s">
        <v>72</v>
      </c>
      <c r="C37" s="35">
        <v>3330</v>
      </c>
      <c r="D37" s="36">
        <v>42720</v>
      </c>
      <c r="E37" s="25" t="s">
        <v>36</v>
      </c>
      <c r="F37" s="25" t="s">
        <v>37</v>
      </c>
      <c r="G37" s="18">
        <v>32</v>
      </c>
      <c r="H37" s="18">
        <v>12</v>
      </c>
      <c r="I37" s="18">
        <v>10</v>
      </c>
      <c r="J37" s="18">
        <v>2</v>
      </c>
      <c r="K37" s="37">
        <v>397.65</v>
      </c>
      <c r="L37" s="19">
        <v>325.24</v>
      </c>
      <c r="M37" s="19">
        <v>72.41</v>
      </c>
      <c r="N37" s="15">
        <v>17517500</v>
      </c>
      <c r="O37" s="38">
        <v>12362324.199999999</v>
      </c>
      <c r="P37" s="15">
        <v>2577587.9</v>
      </c>
      <c r="Q37" s="15">
        <v>2577587.9</v>
      </c>
      <c r="R37" s="16"/>
    </row>
    <row r="38" spans="1:20" ht="28.5" hidden="1" customHeight="1">
      <c r="A38" s="12" t="s">
        <v>73</v>
      </c>
      <c r="B38" s="34" t="s">
        <v>74</v>
      </c>
      <c r="C38" s="35">
        <v>3330</v>
      </c>
      <c r="D38" s="36">
        <v>42720</v>
      </c>
      <c r="E38" s="25" t="s">
        <v>36</v>
      </c>
      <c r="F38" s="25" t="s">
        <v>37</v>
      </c>
      <c r="G38" s="18">
        <v>14</v>
      </c>
      <c r="H38" s="18">
        <v>5</v>
      </c>
      <c r="I38" s="18">
        <v>5</v>
      </c>
      <c r="J38" s="18">
        <v>0</v>
      </c>
      <c r="K38" s="19">
        <v>242.36</v>
      </c>
      <c r="L38" s="19">
        <v>242.36</v>
      </c>
      <c r="M38" s="19">
        <v>0</v>
      </c>
      <c r="N38" s="20">
        <v>10160454.17</v>
      </c>
      <c r="O38" s="20">
        <v>7534598</v>
      </c>
      <c r="P38" s="15">
        <v>1312928.08</v>
      </c>
      <c r="Q38" s="15">
        <v>1312928.0900000001</v>
      </c>
      <c r="R38" s="16"/>
    </row>
    <row r="39" spans="1:20" ht="26.25" hidden="1" customHeight="1">
      <c r="A39" s="590" t="s">
        <v>75</v>
      </c>
      <c r="B39" s="590"/>
      <c r="C39" s="21" t="s">
        <v>28</v>
      </c>
      <c r="D39" s="21" t="s">
        <v>28</v>
      </c>
      <c r="E39" s="21" t="s">
        <v>28</v>
      </c>
      <c r="F39" s="21" t="s">
        <v>28</v>
      </c>
      <c r="G39" s="18">
        <f t="shared" ref="G39:M39" si="7">G41</f>
        <v>1</v>
      </c>
      <c r="H39" s="18">
        <f t="shared" si="7"/>
        <v>1</v>
      </c>
      <c r="I39" s="18">
        <f t="shared" si="7"/>
        <v>0</v>
      </c>
      <c r="J39" s="18">
        <f t="shared" si="7"/>
        <v>1</v>
      </c>
      <c r="K39" s="19">
        <f t="shared" si="7"/>
        <v>20.9</v>
      </c>
      <c r="L39" s="19">
        <f t="shared" si="7"/>
        <v>0</v>
      </c>
      <c r="M39" s="19">
        <f t="shared" si="7"/>
        <v>20.9</v>
      </c>
      <c r="N39" s="19">
        <v>0</v>
      </c>
      <c r="O39" s="19">
        <v>0</v>
      </c>
      <c r="P39" s="19">
        <v>0</v>
      </c>
      <c r="Q39" s="19">
        <v>0</v>
      </c>
      <c r="R39" s="595" t="s">
        <v>76</v>
      </c>
    </row>
    <row r="40" spans="1:20" ht="28.5" hidden="1" customHeight="1">
      <c r="A40" s="590" t="s">
        <v>47</v>
      </c>
      <c r="B40" s="590"/>
      <c r="C40" s="21" t="s">
        <v>28</v>
      </c>
      <c r="D40" s="21" t="s">
        <v>28</v>
      </c>
      <c r="E40" s="21" t="s">
        <v>28</v>
      </c>
      <c r="F40" s="12" t="s">
        <v>28</v>
      </c>
      <c r="G40" s="26">
        <f t="shared" ref="G40:Q40" si="8">G41</f>
        <v>1</v>
      </c>
      <c r="H40" s="26">
        <f t="shared" si="8"/>
        <v>1</v>
      </c>
      <c r="I40" s="26">
        <f t="shared" si="8"/>
        <v>0</v>
      </c>
      <c r="J40" s="26">
        <f t="shared" si="8"/>
        <v>1</v>
      </c>
      <c r="K40" s="27">
        <f t="shared" si="8"/>
        <v>20.9</v>
      </c>
      <c r="L40" s="27">
        <f t="shared" si="8"/>
        <v>0</v>
      </c>
      <c r="M40" s="27">
        <f t="shared" si="8"/>
        <v>20.9</v>
      </c>
      <c r="N40" s="27">
        <f t="shared" si="8"/>
        <v>0</v>
      </c>
      <c r="O40" s="27">
        <f t="shared" si="8"/>
        <v>0</v>
      </c>
      <c r="P40" s="27">
        <f t="shared" si="8"/>
        <v>0</v>
      </c>
      <c r="Q40" s="27">
        <f t="shared" si="8"/>
        <v>0</v>
      </c>
      <c r="R40" s="596"/>
    </row>
    <row r="41" spans="1:20" ht="27" hidden="1" customHeight="1">
      <c r="A41" s="12" t="s">
        <v>77</v>
      </c>
      <c r="B41" s="34" t="s">
        <v>52</v>
      </c>
      <c r="C41" s="41" t="s">
        <v>53</v>
      </c>
      <c r="D41" s="36">
        <v>42479</v>
      </c>
      <c r="E41" s="25" t="s">
        <v>36</v>
      </c>
      <c r="F41" s="25" t="s">
        <v>37</v>
      </c>
      <c r="G41" s="18">
        <v>1</v>
      </c>
      <c r="H41" s="18">
        <v>1</v>
      </c>
      <c r="I41" s="18">
        <v>0</v>
      </c>
      <c r="J41" s="18">
        <v>1</v>
      </c>
      <c r="K41" s="19">
        <v>20.9</v>
      </c>
      <c r="L41" s="19">
        <v>0</v>
      </c>
      <c r="M41" s="19">
        <v>20.9</v>
      </c>
      <c r="N41" s="15">
        <v>0</v>
      </c>
      <c r="O41" s="38">
        <v>0</v>
      </c>
      <c r="P41" s="15">
        <v>0</v>
      </c>
      <c r="Q41" s="15">
        <v>0</v>
      </c>
      <c r="R41" s="597"/>
    </row>
    <row r="42" spans="1:20" ht="14.25" hidden="1" customHeight="1">
      <c r="A42" s="593" t="s">
        <v>78</v>
      </c>
      <c r="B42" s="593"/>
      <c r="C42" s="23" t="s">
        <v>79</v>
      </c>
      <c r="D42" s="24" t="s">
        <v>79</v>
      </c>
      <c r="E42" s="45" t="s">
        <v>79</v>
      </c>
      <c r="F42" s="45" t="s">
        <v>79</v>
      </c>
      <c r="G42" s="26">
        <f t="shared" ref="G42:Q42" si="9">SUM(G43,G63)</f>
        <v>128</v>
      </c>
      <c r="H42" s="26">
        <f t="shared" si="9"/>
        <v>58</v>
      </c>
      <c r="I42" s="26">
        <f t="shared" si="9"/>
        <v>30</v>
      </c>
      <c r="J42" s="26">
        <f t="shared" si="9"/>
        <v>28</v>
      </c>
      <c r="K42" s="27">
        <f t="shared" si="9"/>
        <v>2170.69</v>
      </c>
      <c r="L42" s="27">
        <f t="shared" si="9"/>
        <v>1233.5099999999998</v>
      </c>
      <c r="M42" s="27">
        <f t="shared" si="9"/>
        <v>937.18000000000006</v>
      </c>
      <c r="N42" s="28">
        <f t="shared" si="9"/>
        <v>74592922.75999999</v>
      </c>
      <c r="O42" s="28">
        <f t="shared" si="9"/>
        <v>0</v>
      </c>
      <c r="P42" s="28">
        <f t="shared" si="9"/>
        <v>70863276.620000005</v>
      </c>
      <c r="Q42" s="28">
        <f t="shared" si="9"/>
        <v>3729646.1399999997</v>
      </c>
      <c r="R42" s="46"/>
      <c r="S42" s="47"/>
    </row>
    <row r="43" spans="1:20" ht="28.5" customHeight="1">
      <c r="A43" s="593" t="s">
        <v>80</v>
      </c>
      <c r="B43" s="593"/>
      <c r="C43" s="23" t="s">
        <v>79</v>
      </c>
      <c r="D43" s="24" t="s">
        <v>79</v>
      </c>
      <c r="E43" s="45" t="s">
        <v>79</v>
      </c>
      <c r="F43" s="45" t="s">
        <v>79</v>
      </c>
      <c r="G43" s="26"/>
      <c r="H43" s="26"/>
      <c r="I43" s="26"/>
      <c r="J43" s="26"/>
      <c r="K43" s="27"/>
      <c r="L43" s="27"/>
      <c r="M43" s="27"/>
      <c r="N43" s="28"/>
      <c r="O43" s="28"/>
      <c r="P43" s="28"/>
      <c r="Q43" s="28"/>
      <c r="R43" s="46"/>
      <c r="S43" s="47"/>
      <c r="T43" s="3" t="e">
        <f>O43/N43</f>
        <v>#DIV/0!</v>
      </c>
    </row>
    <row r="44" spans="1:20" ht="28.5" hidden="1" customHeight="1">
      <c r="A44" s="590" t="s">
        <v>81</v>
      </c>
      <c r="B44" s="590"/>
      <c r="C44" s="21" t="s">
        <v>28</v>
      </c>
      <c r="D44" s="21" t="s">
        <v>28</v>
      </c>
      <c r="E44" s="21" t="s">
        <v>28</v>
      </c>
      <c r="F44" s="21" t="s">
        <v>28</v>
      </c>
      <c r="G44" s="26">
        <f t="shared" ref="G44:Q44" si="10">SUM(G45,G46)</f>
        <v>23</v>
      </c>
      <c r="H44" s="26">
        <f t="shared" si="10"/>
        <v>10</v>
      </c>
      <c r="I44" s="26">
        <f t="shared" si="10"/>
        <v>4</v>
      </c>
      <c r="J44" s="26">
        <f t="shared" si="10"/>
        <v>6</v>
      </c>
      <c r="K44" s="27">
        <f t="shared" si="10"/>
        <v>295.87</v>
      </c>
      <c r="L44" s="27">
        <f t="shared" si="10"/>
        <v>98.92</v>
      </c>
      <c r="M44" s="27">
        <f t="shared" si="10"/>
        <v>196.95</v>
      </c>
      <c r="N44" s="28">
        <f t="shared" si="10"/>
        <v>12529260</v>
      </c>
      <c r="O44" s="28">
        <f t="shared" si="10"/>
        <v>5984073.25</v>
      </c>
      <c r="P44" s="28">
        <f t="shared" si="10"/>
        <v>6217927.4100000001</v>
      </c>
      <c r="Q44" s="28">
        <f t="shared" si="10"/>
        <v>327259.33999999997</v>
      </c>
      <c r="R44" s="48"/>
      <c r="S44" s="49"/>
    </row>
    <row r="45" spans="1:20" ht="28.5" hidden="1" customHeight="1">
      <c r="A45" s="40" t="s">
        <v>82</v>
      </c>
      <c r="B45" s="22" t="s">
        <v>83</v>
      </c>
      <c r="C45" s="21">
        <v>2</v>
      </c>
      <c r="D45" s="24">
        <v>41690</v>
      </c>
      <c r="E45" s="45" t="s">
        <v>37</v>
      </c>
      <c r="F45" s="45" t="s">
        <v>84</v>
      </c>
      <c r="G45" s="26">
        <v>13</v>
      </c>
      <c r="H45" s="26">
        <v>4</v>
      </c>
      <c r="I45" s="26">
        <v>0</v>
      </c>
      <c r="J45" s="26">
        <v>4</v>
      </c>
      <c r="K45" s="27">
        <v>149</v>
      </c>
      <c r="L45" s="27">
        <v>0</v>
      </c>
      <c r="M45" s="27">
        <v>149</v>
      </c>
      <c r="N45" s="28">
        <v>5740356</v>
      </c>
      <c r="O45" s="28">
        <v>3013576.62</v>
      </c>
      <c r="P45" s="29">
        <v>2590440.41</v>
      </c>
      <c r="Q45" s="29">
        <v>136338.97</v>
      </c>
      <c r="R45" s="33"/>
    </row>
    <row r="46" spans="1:20" ht="28.5" hidden="1" customHeight="1">
      <c r="A46" s="40" t="s">
        <v>85</v>
      </c>
      <c r="B46" s="22" t="s">
        <v>86</v>
      </c>
      <c r="C46" s="21">
        <v>17</v>
      </c>
      <c r="D46" s="24">
        <v>41260</v>
      </c>
      <c r="E46" s="45" t="s">
        <v>37</v>
      </c>
      <c r="F46" s="45" t="s">
        <v>84</v>
      </c>
      <c r="G46" s="26">
        <v>10</v>
      </c>
      <c r="H46" s="26">
        <v>6</v>
      </c>
      <c r="I46" s="26">
        <v>4</v>
      </c>
      <c r="J46" s="26">
        <v>2</v>
      </c>
      <c r="K46" s="27">
        <v>146.87</v>
      </c>
      <c r="L46" s="27">
        <v>98.92</v>
      </c>
      <c r="M46" s="27">
        <v>47.95</v>
      </c>
      <c r="N46" s="28">
        <v>6788904</v>
      </c>
      <c r="O46" s="28">
        <v>2970496.63</v>
      </c>
      <c r="P46" s="29">
        <v>3627487</v>
      </c>
      <c r="Q46" s="29">
        <v>190920.37</v>
      </c>
      <c r="R46" s="33"/>
    </row>
    <row r="47" spans="1:20" ht="28.5" hidden="1" customHeight="1">
      <c r="A47" s="590" t="s">
        <v>87</v>
      </c>
      <c r="B47" s="590"/>
      <c r="C47" s="21" t="s">
        <v>28</v>
      </c>
      <c r="D47" s="21" t="s">
        <v>28</v>
      </c>
      <c r="E47" s="21" t="s">
        <v>28</v>
      </c>
      <c r="F47" s="12" t="s">
        <v>28</v>
      </c>
      <c r="G47" s="26">
        <f t="shared" ref="G47:Q47" si="11">SUM(G48:G49)</f>
        <v>9</v>
      </c>
      <c r="H47" s="26">
        <f t="shared" si="11"/>
        <v>5</v>
      </c>
      <c r="I47" s="26">
        <f t="shared" si="11"/>
        <v>4</v>
      </c>
      <c r="J47" s="26">
        <f t="shared" si="11"/>
        <v>1</v>
      </c>
      <c r="K47" s="27">
        <f t="shared" si="11"/>
        <v>163.6</v>
      </c>
      <c r="L47" s="27">
        <f t="shared" si="11"/>
        <v>135.80000000000001</v>
      </c>
      <c r="M47" s="27">
        <f t="shared" si="11"/>
        <v>27.799999999999997</v>
      </c>
      <c r="N47" s="28">
        <f t="shared" si="11"/>
        <v>5719972.4000000004</v>
      </c>
      <c r="O47" s="28">
        <f t="shared" si="11"/>
        <v>3308866.6799999997</v>
      </c>
      <c r="P47" s="28">
        <f t="shared" si="11"/>
        <v>2290550.44</v>
      </c>
      <c r="Q47" s="28">
        <f t="shared" si="11"/>
        <v>120555.28</v>
      </c>
      <c r="R47" s="33"/>
      <c r="S47" s="49"/>
    </row>
    <row r="48" spans="1:20" ht="28.5" hidden="1" customHeight="1">
      <c r="A48" s="40" t="s">
        <v>88</v>
      </c>
      <c r="B48" s="22" t="s">
        <v>89</v>
      </c>
      <c r="C48" s="43" t="s">
        <v>90</v>
      </c>
      <c r="D48" s="24">
        <v>41085</v>
      </c>
      <c r="E48" s="25" t="s">
        <v>37</v>
      </c>
      <c r="F48" s="25" t="s">
        <v>84</v>
      </c>
      <c r="G48" s="26">
        <v>4</v>
      </c>
      <c r="H48" s="26">
        <v>2</v>
      </c>
      <c r="I48" s="26">
        <v>2</v>
      </c>
      <c r="J48" s="26">
        <v>0</v>
      </c>
      <c r="K48" s="27">
        <v>64</v>
      </c>
      <c r="L48" s="27">
        <v>64</v>
      </c>
      <c r="M48" s="27">
        <v>0</v>
      </c>
      <c r="N48" s="28">
        <v>2092672</v>
      </c>
      <c r="O48" s="28">
        <v>1294422.17</v>
      </c>
      <c r="P48" s="29">
        <v>758337.34</v>
      </c>
      <c r="Q48" s="29">
        <v>39912.49</v>
      </c>
      <c r="R48" s="33"/>
    </row>
    <row r="49" spans="1:19" ht="28.5" hidden="1" customHeight="1">
      <c r="A49" s="40" t="s">
        <v>91</v>
      </c>
      <c r="B49" s="22" t="s">
        <v>92</v>
      </c>
      <c r="C49" s="43" t="s">
        <v>93</v>
      </c>
      <c r="D49" s="24">
        <v>41085</v>
      </c>
      <c r="E49" s="25" t="s">
        <v>37</v>
      </c>
      <c r="F49" s="25" t="s">
        <v>84</v>
      </c>
      <c r="G49" s="26">
        <v>5</v>
      </c>
      <c r="H49" s="26">
        <v>3</v>
      </c>
      <c r="I49" s="26">
        <v>2</v>
      </c>
      <c r="J49" s="26">
        <v>1</v>
      </c>
      <c r="K49" s="27">
        <v>99.6</v>
      </c>
      <c r="L49" s="27">
        <v>71.8</v>
      </c>
      <c r="M49" s="27">
        <f>K49-L49</f>
        <v>27.799999999999997</v>
      </c>
      <c r="N49" s="28">
        <v>3627300.4</v>
      </c>
      <c r="O49" s="28">
        <v>2014444.51</v>
      </c>
      <c r="P49" s="29">
        <v>1532213.1</v>
      </c>
      <c r="Q49" s="29">
        <v>80642.789999999994</v>
      </c>
      <c r="R49" s="33"/>
    </row>
    <row r="50" spans="1:19" ht="28.5" customHeight="1">
      <c r="A50" s="594" t="s">
        <v>94</v>
      </c>
      <c r="B50" s="594"/>
      <c r="C50" s="50" t="s">
        <v>28</v>
      </c>
      <c r="D50" s="50" t="s">
        <v>28</v>
      </c>
      <c r="E50" s="50" t="s">
        <v>28</v>
      </c>
      <c r="F50" s="50" t="s">
        <v>28</v>
      </c>
      <c r="G50" s="51">
        <f t="shared" ref="G50:Q50" si="12">SUM(G51:G53)</f>
        <v>96</v>
      </c>
      <c r="H50" s="51">
        <f t="shared" si="12"/>
        <v>42</v>
      </c>
      <c r="I50" s="51">
        <f t="shared" si="12"/>
        <v>19</v>
      </c>
      <c r="J50" s="51">
        <f t="shared" si="12"/>
        <v>23</v>
      </c>
      <c r="K50" s="52">
        <f t="shared" si="12"/>
        <v>1019.33</v>
      </c>
      <c r="L50" s="52">
        <f t="shared" si="12"/>
        <v>479.49</v>
      </c>
      <c r="M50" s="52">
        <f t="shared" si="12"/>
        <v>539.83999999999992</v>
      </c>
      <c r="N50" s="53">
        <f t="shared" si="12"/>
        <v>53136308.57</v>
      </c>
      <c r="O50" s="53">
        <f t="shared" si="12"/>
        <v>20616302.400000002</v>
      </c>
      <c r="P50" s="53">
        <f t="shared" si="12"/>
        <v>26016004.940000001</v>
      </c>
      <c r="Q50" s="53">
        <f t="shared" si="12"/>
        <v>6504001.2300000004</v>
      </c>
      <c r="R50" s="16"/>
      <c r="S50" s="49"/>
    </row>
    <row r="51" spans="1:19" ht="28.5" customHeight="1">
      <c r="A51" s="40" t="s">
        <v>95</v>
      </c>
      <c r="B51" s="22" t="s">
        <v>96</v>
      </c>
      <c r="C51" s="23" t="s">
        <v>97</v>
      </c>
      <c r="D51" s="24">
        <v>41123</v>
      </c>
      <c r="E51" s="45" t="s">
        <v>37</v>
      </c>
      <c r="F51" s="45" t="s">
        <v>84</v>
      </c>
      <c r="G51" s="26">
        <v>32</v>
      </c>
      <c r="H51" s="26">
        <v>15</v>
      </c>
      <c r="I51" s="26">
        <v>13</v>
      </c>
      <c r="J51" s="26">
        <v>2</v>
      </c>
      <c r="K51" s="27">
        <v>427.6</v>
      </c>
      <c r="L51" s="27">
        <v>318.37</v>
      </c>
      <c r="M51" s="27">
        <v>109.23</v>
      </c>
      <c r="N51" s="28">
        <v>20524800</v>
      </c>
      <c r="O51" s="28">
        <v>8648358.1400000006</v>
      </c>
      <c r="P51" s="29">
        <v>9501153.4900000002</v>
      </c>
      <c r="Q51" s="29">
        <v>2375288.37</v>
      </c>
      <c r="R51" s="33"/>
      <c r="S51" s="54"/>
    </row>
    <row r="52" spans="1:19" ht="28.5" customHeight="1">
      <c r="A52" s="40" t="s">
        <v>98</v>
      </c>
      <c r="B52" s="22" t="s">
        <v>99</v>
      </c>
      <c r="C52" s="43" t="s">
        <v>100</v>
      </c>
      <c r="D52" s="24">
        <v>41297</v>
      </c>
      <c r="E52" s="45" t="s">
        <v>37</v>
      </c>
      <c r="F52" s="45" t="s">
        <v>84</v>
      </c>
      <c r="G52" s="26">
        <v>24</v>
      </c>
      <c r="H52" s="26">
        <v>8</v>
      </c>
      <c r="I52" s="26">
        <v>2</v>
      </c>
      <c r="J52" s="26">
        <v>6</v>
      </c>
      <c r="K52" s="27">
        <v>244.33</v>
      </c>
      <c r="L52" s="27">
        <v>90.92</v>
      </c>
      <c r="M52" s="27">
        <v>153.41</v>
      </c>
      <c r="N52" s="28">
        <v>11727840</v>
      </c>
      <c r="O52" s="28">
        <v>4941658.9000000004</v>
      </c>
      <c r="P52" s="29">
        <v>5428944.8799999999</v>
      </c>
      <c r="Q52" s="29">
        <v>1357236.22</v>
      </c>
      <c r="R52" s="33"/>
      <c r="S52" s="54"/>
    </row>
    <row r="53" spans="1:19" ht="28.5" customHeight="1">
      <c r="A53" s="40" t="s">
        <v>101</v>
      </c>
      <c r="B53" s="22" t="s">
        <v>102</v>
      </c>
      <c r="C53" s="43" t="s">
        <v>103</v>
      </c>
      <c r="D53" s="24">
        <v>41565</v>
      </c>
      <c r="E53" s="45" t="s">
        <v>37</v>
      </c>
      <c r="F53" s="45" t="s">
        <v>84</v>
      </c>
      <c r="G53" s="26">
        <v>40</v>
      </c>
      <c r="H53" s="26">
        <v>19</v>
      </c>
      <c r="I53" s="26">
        <v>4</v>
      </c>
      <c r="J53" s="26">
        <v>15</v>
      </c>
      <c r="K53" s="27">
        <v>347.4</v>
      </c>
      <c r="L53" s="14">
        <v>70.2</v>
      </c>
      <c r="M53" s="14">
        <v>277.2</v>
      </c>
      <c r="N53" s="28">
        <v>20883668.57</v>
      </c>
      <c r="O53" s="28">
        <v>7026285.3600000003</v>
      </c>
      <c r="P53" s="29">
        <v>11085906.57</v>
      </c>
      <c r="Q53" s="29">
        <v>2771476.64</v>
      </c>
      <c r="R53" s="33"/>
    </row>
    <row r="54" spans="1:19" ht="28.5" hidden="1" customHeight="1">
      <c r="A54" s="590" t="s">
        <v>104</v>
      </c>
      <c r="B54" s="590"/>
      <c r="C54" s="21" t="s">
        <v>28</v>
      </c>
      <c r="D54" s="21" t="s">
        <v>28</v>
      </c>
      <c r="E54" s="21" t="s">
        <v>28</v>
      </c>
      <c r="F54" s="21" t="s">
        <v>28</v>
      </c>
      <c r="G54" s="26">
        <f t="shared" ref="G54:M54" si="13">SUM(G55:G59)</f>
        <v>127</v>
      </c>
      <c r="H54" s="26">
        <f t="shared" si="13"/>
        <v>59</v>
      </c>
      <c r="I54" s="26">
        <f t="shared" si="13"/>
        <v>55</v>
      </c>
      <c r="J54" s="26">
        <f t="shared" si="13"/>
        <v>4</v>
      </c>
      <c r="K54" s="27">
        <f t="shared" si="13"/>
        <v>2067.7400000000002</v>
      </c>
      <c r="L54" s="27">
        <f t="shared" si="13"/>
        <v>1945.32</v>
      </c>
      <c r="M54" s="27">
        <f t="shared" si="13"/>
        <v>122.42</v>
      </c>
      <c r="N54" s="28">
        <v>99251519.999999985</v>
      </c>
      <c r="O54" s="28">
        <v>41820757.869999997</v>
      </c>
      <c r="P54" s="29">
        <v>45944609.700000003</v>
      </c>
      <c r="Q54" s="29">
        <v>11486152.43</v>
      </c>
      <c r="R54" s="33"/>
      <c r="S54" s="49"/>
    </row>
    <row r="55" spans="1:19" ht="28.5" hidden="1" customHeight="1">
      <c r="A55" s="40" t="s">
        <v>105</v>
      </c>
      <c r="B55" s="22" t="s">
        <v>106</v>
      </c>
      <c r="C55" s="55" t="s">
        <v>107</v>
      </c>
      <c r="D55" s="36">
        <v>42635</v>
      </c>
      <c r="E55" s="45" t="s">
        <v>37</v>
      </c>
      <c r="F55" s="45" t="s">
        <v>84</v>
      </c>
      <c r="G55" s="26">
        <v>25</v>
      </c>
      <c r="H55" s="26">
        <v>11</v>
      </c>
      <c r="I55" s="26">
        <v>11</v>
      </c>
      <c r="J55" s="26">
        <v>0</v>
      </c>
      <c r="K55" s="27">
        <v>349.8</v>
      </c>
      <c r="L55" s="27">
        <v>349.8</v>
      </c>
      <c r="M55" s="27">
        <v>0</v>
      </c>
      <c r="N55" s="28">
        <v>16790400</v>
      </c>
      <c r="O55" s="28">
        <v>7074826.1900000004</v>
      </c>
      <c r="P55" s="29">
        <v>7772459.0499999998</v>
      </c>
      <c r="Q55" s="29">
        <v>1943114.76</v>
      </c>
      <c r="R55" s="33"/>
    </row>
    <row r="56" spans="1:19" ht="28.5" hidden="1" customHeight="1">
      <c r="A56" s="40" t="s">
        <v>108</v>
      </c>
      <c r="B56" s="22" t="s">
        <v>109</v>
      </c>
      <c r="C56" s="55" t="s">
        <v>107</v>
      </c>
      <c r="D56" s="36">
        <v>42635</v>
      </c>
      <c r="E56" s="45" t="s">
        <v>37</v>
      </c>
      <c r="F56" s="45" t="s">
        <v>84</v>
      </c>
      <c r="G56" s="26">
        <v>21</v>
      </c>
      <c r="H56" s="26">
        <v>12</v>
      </c>
      <c r="I56" s="26">
        <v>11</v>
      </c>
      <c r="J56" s="26">
        <v>1</v>
      </c>
      <c r="K56" s="27">
        <v>392.7</v>
      </c>
      <c r="L56" s="27">
        <v>366.9</v>
      </c>
      <c r="M56" s="27">
        <v>25.8</v>
      </c>
      <c r="N56" s="28">
        <v>18849600</v>
      </c>
      <c r="O56" s="28">
        <v>7942493.5499999998</v>
      </c>
      <c r="P56" s="29">
        <v>8725685.1600000001</v>
      </c>
      <c r="Q56" s="29">
        <v>2181421.29</v>
      </c>
      <c r="R56" s="33"/>
    </row>
    <row r="57" spans="1:19" ht="28.5" hidden="1" customHeight="1">
      <c r="A57" s="40" t="s">
        <v>110</v>
      </c>
      <c r="B57" s="34" t="s">
        <v>111</v>
      </c>
      <c r="C57" s="55" t="s">
        <v>107</v>
      </c>
      <c r="D57" s="36">
        <v>42635</v>
      </c>
      <c r="E57" s="45" t="s">
        <v>37</v>
      </c>
      <c r="F57" s="45" t="s">
        <v>84</v>
      </c>
      <c r="G57" s="13">
        <v>36</v>
      </c>
      <c r="H57" s="13">
        <v>16</v>
      </c>
      <c r="I57" s="13">
        <v>16</v>
      </c>
      <c r="J57" s="13">
        <v>0</v>
      </c>
      <c r="K57" s="56">
        <v>638.29</v>
      </c>
      <c r="L57" s="14">
        <v>638.29</v>
      </c>
      <c r="M57" s="14">
        <v>0</v>
      </c>
      <c r="N57" s="28">
        <v>30637920</v>
      </c>
      <c r="O57" s="28">
        <v>12909636.380000001</v>
      </c>
      <c r="P57" s="29">
        <v>14182626.890000001</v>
      </c>
      <c r="Q57" s="29">
        <v>3545656.73</v>
      </c>
      <c r="R57" s="16"/>
    </row>
    <row r="58" spans="1:19" ht="28.5" hidden="1" customHeight="1">
      <c r="A58" s="40" t="s">
        <v>112</v>
      </c>
      <c r="B58" s="22" t="s">
        <v>113</v>
      </c>
      <c r="C58" s="55" t="s">
        <v>107</v>
      </c>
      <c r="D58" s="36">
        <v>42635</v>
      </c>
      <c r="E58" s="25" t="s">
        <v>37</v>
      </c>
      <c r="F58" s="45" t="s">
        <v>84</v>
      </c>
      <c r="G58" s="26">
        <v>27</v>
      </c>
      <c r="H58" s="26">
        <v>12</v>
      </c>
      <c r="I58" s="26">
        <v>12</v>
      </c>
      <c r="J58" s="26">
        <v>0</v>
      </c>
      <c r="K58" s="27">
        <v>381.4</v>
      </c>
      <c r="L58" s="27">
        <v>381.4</v>
      </c>
      <c r="M58" s="27">
        <v>0</v>
      </c>
      <c r="N58" s="28">
        <v>18307200</v>
      </c>
      <c r="O58" s="28">
        <v>7713947.1399999997</v>
      </c>
      <c r="P58" s="29">
        <v>8474602.2899999991</v>
      </c>
      <c r="Q58" s="29">
        <v>2118650.5699999998</v>
      </c>
      <c r="R58" s="33"/>
    </row>
    <row r="59" spans="1:19" ht="28.5" hidden="1" customHeight="1">
      <c r="A59" s="12" t="s">
        <v>114</v>
      </c>
      <c r="B59" s="34" t="s">
        <v>115</v>
      </c>
      <c r="C59" s="35">
        <v>1</v>
      </c>
      <c r="D59" s="36">
        <v>41017</v>
      </c>
      <c r="E59" s="45" t="s">
        <v>37</v>
      </c>
      <c r="F59" s="45" t="s">
        <v>84</v>
      </c>
      <c r="G59" s="13">
        <v>18</v>
      </c>
      <c r="H59" s="13">
        <v>8</v>
      </c>
      <c r="I59" s="26">
        <v>5</v>
      </c>
      <c r="J59" s="26">
        <v>3</v>
      </c>
      <c r="K59" s="56">
        <v>305.55</v>
      </c>
      <c r="L59" s="14">
        <v>208.93</v>
      </c>
      <c r="M59" s="14">
        <v>96.62</v>
      </c>
      <c r="N59" s="28">
        <v>14666400</v>
      </c>
      <c r="O59" s="28">
        <v>6179854.6100000003</v>
      </c>
      <c r="P59" s="29">
        <v>6789236.3099999996</v>
      </c>
      <c r="Q59" s="29">
        <v>1697309.08</v>
      </c>
      <c r="R59" s="16"/>
    </row>
    <row r="60" spans="1:19" ht="28.5" hidden="1" customHeight="1">
      <c r="A60" s="591" t="s">
        <v>116</v>
      </c>
      <c r="B60" s="592"/>
      <c r="C60" s="21" t="s">
        <v>28</v>
      </c>
      <c r="D60" s="21" t="s">
        <v>28</v>
      </c>
      <c r="E60" s="21" t="s">
        <v>28</v>
      </c>
      <c r="F60" s="21" t="s">
        <v>28</v>
      </c>
      <c r="G60" s="57">
        <f t="shared" ref="G60:Q60" si="14">SUM(G61:G62)</f>
        <v>128</v>
      </c>
      <c r="H60" s="57">
        <f t="shared" si="14"/>
        <v>53</v>
      </c>
      <c r="I60" s="57">
        <f t="shared" si="14"/>
        <v>45</v>
      </c>
      <c r="J60" s="57">
        <f t="shared" si="14"/>
        <v>8</v>
      </c>
      <c r="K60" s="56">
        <f t="shared" si="14"/>
        <v>2503.87</v>
      </c>
      <c r="L60" s="56">
        <f t="shared" si="14"/>
        <v>2007.32</v>
      </c>
      <c r="M60" s="56">
        <f t="shared" si="14"/>
        <v>496.55</v>
      </c>
      <c r="N60" s="28">
        <f t="shared" si="14"/>
        <v>120185760</v>
      </c>
      <c r="O60" s="28">
        <f t="shared" si="14"/>
        <v>50491768.390000001</v>
      </c>
      <c r="P60" s="28">
        <f t="shared" si="14"/>
        <v>34846995.810000002</v>
      </c>
      <c r="Q60" s="28">
        <f t="shared" si="14"/>
        <v>34846995.799999997</v>
      </c>
      <c r="R60" s="33"/>
      <c r="S60" s="49">
        <f>O60*0.3</f>
        <v>15147530.516999999</v>
      </c>
    </row>
    <row r="61" spans="1:19" ht="28.5" hidden="1" customHeight="1">
      <c r="A61" s="12" t="s">
        <v>117</v>
      </c>
      <c r="B61" s="34" t="s">
        <v>118</v>
      </c>
      <c r="C61" s="12">
        <v>59</v>
      </c>
      <c r="D61" s="36">
        <v>41257</v>
      </c>
      <c r="E61" s="25" t="s">
        <v>37</v>
      </c>
      <c r="F61" s="45" t="s">
        <v>84</v>
      </c>
      <c r="G61" s="57">
        <v>96</v>
      </c>
      <c r="H61" s="13">
        <v>41</v>
      </c>
      <c r="I61" s="13">
        <v>34</v>
      </c>
      <c r="J61" s="13">
        <v>7</v>
      </c>
      <c r="K61" s="56">
        <f>SUM(L61:M61)</f>
        <v>1787.63</v>
      </c>
      <c r="L61" s="56">
        <v>1370.28</v>
      </c>
      <c r="M61" s="56">
        <v>417.35</v>
      </c>
      <c r="N61" s="28">
        <v>85806240</v>
      </c>
      <c r="O61" s="28">
        <v>36005566.25</v>
      </c>
      <c r="P61" s="29">
        <v>24900336.879999999</v>
      </c>
      <c r="Q61" s="29">
        <v>24900336.870000001</v>
      </c>
      <c r="R61" s="16"/>
    </row>
    <row r="62" spans="1:19" ht="28.5" hidden="1" customHeight="1">
      <c r="A62" s="12" t="s">
        <v>119</v>
      </c>
      <c r="B62" s="34" t="s">
        <v>120</v>
      </c>
      <c r="C62" s="35">
        <v>3330</v>
      </c>
      <c r="D62" s="36">
        <v>42720</v>
      </c>
      <c r="E62" s="25" t="s">
        <v>37</v>
      </c>
      <c r="F62" s="45" t="s">
        <v>84</v>
      </c>
      <c r="G62" s="13">
        <v>32</v>
      </c>
      <c r="H62" s="13">
        <v>12</v>
      </c>
      <c r="I62" s="13">
        <v>11</v>
      </c>
      <c r="J62" s="13">
        <v>1</v>
      </c>
      <c r="K62" s="14">
        <v>716.24</v>
      </c>
      <c r="L62" s="14">
        <v>637.04</v>
      </c>
      <c r="M62" s="14">
        <v>79.2</v>
      </c>
      <c r="N62" s="28">
        <v>34379520</v>
      </c>
      <c r="O62" s="28">
        <v>14486202.140000001</v>
      </c>
      <c r="P62" s="29">
        <v>9946658.9299999997</v>
      </c>
      <c r="Q62" s="29">
        <v>9946658.9299999997</v>
      </c>
      <c r="R62" s="16"/>
    </row>
    <row r="63" spans="1:19" ht="28.5" hidden="1" customHeight="1">
      <c r="A63" s="591" t="s">
        <v>121</v>
      </c>
      <c r="B63" s="592"/>
      <c r="C63" s="21" t="s">
        <v>28</v>
      </c>
      <c r="D63" s="21" t="s">
        <v>28</v>
      </c>
      <c r="E63" s="21" t="s">
        <v>28</v>
      </c>
      <c r="F63" s="21" t="s">
        <v>28</v>
      </c>
      <c r="G63" s="13">
        <f t="shared" ref="G63:Q63" si="15">SUM(G64,G67,G71,G73,G76,G78)</f>
        <v>128</v>
      </c>
      <c r="H63" s="13">
        <f t="shared" si="15"/>
        <v>58</v>
      </c>
      <c r="I63" s="13">
        <f t="shared" si="15"/>
        <v>30</v>
      </c>
      <c r="J63" s="13">
        <f t="shared" si="15"/>
        <v>28</v>
      </c>
      <c r="K63" s="14">
        <f t="shared" si="15"/>
        <v>2170.69</v>
      </c>
      <c r="L63" s="14">
        <f t="shared" si="15"/>
        <v>1233.5099999999998</v>
      </c>
      <c r="M63" s="14">
        <f t="shared" si="15"/>
        <v>937.18000000000006</v>
      </c>
      <c r="N63" s="29">
        <f t="shared" si="15"/>
        <v>74592922.75999999</v>
      </c>
      <c r="O63" s="29">
        <f t="shared" si="15"/>
        <v>0</v>
      </c>
      <c r="P63" s="29">
        <f t="shared" si="15"/>
        <v>70863276.620000005</v>
      </c>
      <c r="Q63" s="29">
        <f t="shared" si="15"/>
        <v>3729646.1399999997</v>
      </c>
      <c r="R63" s="58"/>
      <c r="S63" s="49"/>
    </row>
    <row r="64" spans="1:19" ht="28.5" hidden="1" customHeight="1">
      <c r="A64" s="590" t="s">
        <v>81</v>
      </c>
      <c r="B64" s="590"/>
      <c r="C64" s="21" t="s">
        <v>28</v>
      </c>
      <c r="D64" s="21" t="s">
        <v>28</v>
      </c>
      <c r="E64" s="21" t="s">
        <v>28</v>
      </c>
      <c r="F64" s="21" t="s">
        <v>28</v>
      </c>
      <c r="G64" s="26">
        <f t="shared" ref="G64:Q64" si="16">SUM(G65,G66)</f>
        <v>13</v>
      </c>
      <c r="H64" s="26">
        <f t="shared" si="16"/>
        <v>6</v>
      </c>
      <c r="I64" s="26">
        <f t="shared" si="16"/>
        <v>2</v>
      </c>
      <c r="J64" s="26">
        <f t="shared" si="16"/>
        <v>4</v>
      </c>
      <c r="K64" s="27">
        <f t="shared" si="16"/>
        <v>183.66</v>
      </c>
      <c r="L64" s="27">
        <f t="shared" si="16"/>
        <v>65.84</v>
      </c>
      <c r="M64" s="27">
        <f t="shared" si="16"/>
        <v>117.82</v>
      </c>
      <c r="N64" s="28">
        <f t="shared" si="16"/>
        <v>7833613.25</v>
      </c>
      <c r="O64" s="28">
        <f t="shared" si="16"/>
        <v>0</v>
      </c>
      <c r="P64" s="28">
        <f t="shared" si="16"/>
        <v>7441932.5899999999</v>
      </c>
      <c r="Q64" s="28">
        <f t="shared" si="16"/>
        <v>391680.66000000003</v>
      </c>
      <c r="R64" s="48"/>
    </row>
    <row r="65" spans="1:19" ht="28.5" hidden="1" customHeight="1">
      <c r="A65" s="12" t="s">
        <v>122</v>
      </c>
      <c r="B65" s="34" t="s">
        <v>123</v>
      </c>
      <c r="C65" s="12">
        <v>1</v>
      </c>
      <c r="D65" s="36">
        <v>41690</v>
      </c>
      <c r="E65" s="25" t="s">
        <v>37</v>
      </c>
      <c r="F65" s="45" t="s">
        <v>84</v>
      </c>
      <c r="G65" s="57">
        <v>8</v>
      </c>
      <c r="H65" s="13">
        <v>4</v>
      </c>
      <c r="I65" s="13">
        <v>0</v>
      </c>
      <c r="J65" s="13">
        <v>4</v>
      </c>
      <c r="K65" s="56">
        <v>117.82</v>
      </c>
      <c r="L65" s="56">
        <v>0</v>
      </c>
      <c r="M65" s="56">
        <v>117.82</v>
      </c>
      <c r="N65" s="28">
        <v>5025352.9000000004</v>
      </c>
      <c r="O65" s="14">
        <v>0</v>
      </c>
      <c r="P65" s="29">
        <v>4774085.26</v>
      </c>
      <c r="Q65" s="29">
        <v>251267.64</v>
      </c>
      <c r="R65" s="59"/>
    </row>
    <row r="66" spans="1:19" ht="28.5" hidden="1" customHeight="1">
      <c r="A66" s="12" t="s">
        <v>124</v>
      </c>
      <c r="B66" s="34" t="s">
        <v>125</v>
      </c>
      <c r="C66" s="35">
        <v>3</v>
      </c>
      <c r="D66" s="36">
        <v>41690</v>
      </c>
      <c r="E66" s="25" t="s">
        <v>37</v>
      </c>
      <c r="F66" s="45" t="s">
        <v>84</v>
      </c>
      <c r="G66" s="13">
        <v>5</v>
      </c>
      <c r="H66" s="13">
        <v>2</v>
      </c>
      <c r="I66" s="13">
        <v>2</v>
      </c>
      <c r="J66" s="13">
        <v>0</v>
      </c>
      <c r="K66" s="14">
        <v>65.84</v>
      </c>
      <c r="L66" s="14">
        <v>65.84</v>
      </c>
      <c r="M66" s="14">
        <v>0</v>
      </c>
      <c r="N66" s="28">
        <v>2808260.35</v>
      </c>
      <c r="O66" s="14">
        <v>0</v>
      </c>
      <c r="P66" s="29">
        <v>2667847.33</v>
      </c>
      <c r="Q66" s="29">
        <v>140413.01999999999</v>
      </c>
      <c r="R66" s="59"/>
    </row>
    <row r="67" spans="1:19" ht="27" hidden="1" customHeight="1">
      <c r="A67" s="588" t="s">
        <v>33</v>
      </c>
      <c r="B67" s="589"/>
      <c r="C67" s="12" t="s">
        <v>28</v>
      </c>
      <c r="D67" s="12" t="s">
        <v>28</v>
      </c>
      <c r="E67" s="12" t="s">
        <v>28</v>
      </c>
      <c r="F67" s="12" t="s">
        <v>28</v>
      </c>
      <c r="G67" s="18">
        <f t="shared" ref="G67:Q67" si="17">SUM(G68:G70)</f>
        <v>25</v>
      </c>
      <c r="H67" s="18">
        <f t="shared" si="17"/>
        <v>14</v>
      </c>
      <c r="I67" s="18">
        <f t="shared" si="17"/>
        <v>5</v>
      </c>
      <c r="J67" s="18">
        <f t="shared" si="17"/>
        <v>9</v>
      </c>
      <c r="K67" s="19">
        <f t="shared" si="17"/>
        <v>456.28</v>
      </c>
      <c r="L67" s="19">
        <f t="shared" si="17"/>
        <v>151.20999999999998</v>
      </c>
      <c r="M67" s="19">
        <f t="shared" si="17"/>
        <v>305.07</v>
      </c>
      <c r="N67" s="28">
        <f t="shared" si="17"/>
        <v>19461619.59</v>
      </c>
      <c r="O67" s="28">
        <f t="shared" si="17"/>
        <v>0</v>
      </c>
      <c r="P67" s="28">
        <f t="shared" si="17"/>
        <v>18488538.609999999</v>
      </c>
      <c r="Q67" s="28">
        <f t="shared" si="17"/>
        <v>973080.97999999986</v>
      </c>
      <c r="R67" s="16"/>
    </row>
    <row r="68" spans="1:19" ht="28.5" hidden="1" customHeight="1">
      <c r="A68" s="21" t="s">
        <v>126</v>
      </c>
      <c r="B68" s="22" t="s">
        <v>35</v>
      </c>
      <c r="C68" s="23">
        <v>154</v>
      </c>
      <c r="D68" s="24">
        <v>42444</v>
      </c>
      <c r="E68" s="25" t="s">
        <v>37</v>
      </c>
      <c r="F68" s="45" t="s">
        <v>84</v>
      </c>
      <c r="G68" s="26">
        <v>4</v>
      </c>
      <c r="H68" s="26">
        <v>4</v>
      </c>
      <c r="I68" s="26">
        <v>1</v>
      </c>
      <c r="J68" s="26">
        <v>3</v>
      </c>
      <c r="K68" s="27">
        <v>224.17</v>
      </c>
      <c r="L68" s="27">
        <v>49</v>
      </c>
      <c r="M68" s="27">
        <v>175.17</v>
      </c>
      <c r="N68" s="28">
        <v>9561478.1799999997</v>
      </c>
      <c r="O68" s="28">
        <v>0</v>
      </c>
      <c r="P68" s="29">
        <v>9083404.2699999996</v>
      </c>
      <c r="Q68" s="29">
        <v>478073.91</v>
      </c>
      <c r="R68" s="16"/>
      <c r="S68" s="30"/>
    </row>
    <row r="69" spans="1:19" ht="28.5" hidden="1" customHeight="1">
      <c r="A69" s="21" t="s">
        <v>127</v>
      </c>
      <c r="B69" s="22" t="s">
        <v>42</v>
      </c>
      <c r="C69" s="23">
        <v>217</v>
      </c>
      <c r="D69" s="24">
        <v>42486</v>
      </c>
      <c r="E69" s="25" t="s">
        <v>37</v>
      </c>
      <c r="F69" s="45" t="s">
        <v>84</v>
      </c>
      <c r="G69" s="26">
        <v>15</v>
      </c>
      <c r="H69" s="26">
        <v>6</v>
      </c>
      <c r="I69" s="26">
        <v>4</v>
      </c>
      <c r="J69" s="26">
        <v>2</v>
      </c>
      <c r="K69" s="27">
        <v>143.91</v>
      </c>
      <c r="L69" s="27">
        <v>102.21</v>
      </c>
      <c r="M69" s="27">
        <v>41.7</v>
      </c>
      <c r="N69" s="28">
        <v>6138164.4500000002</v>
      </c>
      <c r="O69" s="28">
        <v>0</v>
      </c>
      <c r="P69" s="29">
        <v>5831256.2300000004</v>
      </c>
      <c r="Q69" s="29">
        <v>306908.21999999997</v>
      </c>
      <c r="R69" s="16"/>
    </row>
    <row r="70" spans="1:19" ht="28.5" hidden="1" customHeight="1">
      <c r="A70" s="21" t="s">
        <v>128</v>
      </c>
      <c r="B70" s="22" t="s">
        <v>129</v>
      </c>
      <c r="C70" s="21">
        <v>356</v>
      </c>
      <c r="D70" s="24">
        <v>42508</v>
      </c>
      <c r="E70" s="25" t="s">
        <v>37</v>
      </c>
      <c r="F70" s="45" t="s">
        <v>84</v>
      </c>
      <c r="G70" s="26">
        <v>6</v>
      </c>
      <c r="H70" s="26">
        <v>4</v>
      </c>
      <c r="I70" s="26">
        <v>0</v>
      </c>
      <c r="J70" s="26">
        <v>4</v>
      </c>
      <c r="K70" s="27">
        <v>88.2</v>
      </c>
      <c r="L70" s="27">
        <v>0</v>
      </c>
      <c r="M70" s="27">
        <v>88.2</v>
      </c>
      <c r="N70" s="28">
        <v>3761976.9600000004</v>
      </c>
      <c r="O70" s="14">
        <v>0</v>
      </c>
      <c r="P70" s="29">
        <v>3573878.11</v>
      </c>
      <c r="Q70" s="29">
        <v>188098.85</v>
      </c>
      <c r="R70" s="16"/>
    </row>
    <row r="71" spans="1:19" ht="28.5" hidden="1" customHeight="1">
      <c r="A71" s="591" t="s">
        <v>87</v>
      </c>
      <c r="B71" s="592"/>
      <c r="C71" s="21" t="s">
        <v>28</v>
      </c>
      <c r="D71" s="21" t="s">
        <v>28</v>
      </c>
      <c r="E71" s="21" t="s">
        <v>28</v>
      </c>
      <c r="F71" s="21" t="s">
        <v>28</v>
      </c>
      <c r="G71" s="26">
        <f t="shared" ref="G71:Q71" si="18">G72</f>
        <v>4</v>
      </c>
      <c r="H71" s="26">
        <f t="shared" si="18"/>
        <v>2</v>
      </c>
      <c r="I71" s="26">
        <f t="shared" si="18"/>
        <v>1</v>
      </c>
      <c r="J71" s="26">
        <f t="shared" si="18"/>
        <v>1</v>
      </c>
      <c r="K71" s="27">
        <f t="shared" si="18"/>
        <v>41.9</v>
      </c>
      <c r="L71" s="27">
        <f t="shared" si="18"/>
        <v>20.6</v>
      </c>
      <c r="M71" s="27">
        <f t="shared" si="18"/>
        <v>21.3</v>
      </c>
      <c r="N71" s="28">
        <f t="shared" si="18"/>
        <v>1787152.3199999998</v>
      </c>
      <c r="O71" s="28">
        <f t="shared" si="18"/>
        <v>0</v>
      </c>
      <c r="P71" s="28">
        <f t="shared" si="18"/>
        <v>1697794.7</v>
      </c>
      <c r="Q71" s="28">
        <f t="shared" si="18"/>
        <v>89357.62</v>
      </c>
      <c r="R71" s="16"/>
    </row>
    <row r="72" spans="1:19" ht="28.5" hidden="1" customHeight="1">
      <c r="A72" s="40" t="s">
        <v>130</v>
      </c>
      <c r="B72" s="22" t="s">
        <v>131</v>
      </c>
      <c r="C72" s="43" t="s">
        <v>132</v>
      </c>
      <c r="D72" s="24">
        <v>41085</v>
      </c>
      <c r="E72" s="25" t="s">
        <v>37</v>
      </c>
      <c r="F72" s="45" t="s">
        <v>84</v>
      </c>
      <c r="G72" s="26">
        <v>4</v>
      </c>
      <c r="H72" s="26">
        <v>2</v>
      </c>
      <c r="I72" s="26">
        <v>1</v>
      </c>
      <c r="J72" s="26">
        <v>1</v>
      </c>
      <c r="K72" s="27">
        <v>41.9</v>
      </c>
      <c r="L72" s="27">
        <v>20.6</v>
      </c>
      <c r="M72" s="27">
        <v>21.3</v>
      </c>
      <c r="N72" s="28">
        <v>1787152.3199999998</v>
      </c>
      <c r="O72" s="14">
        <v>0</v>
      </c>
      <c r="P72" s="29">
        <v>1697794.7</v>
      </c>
      <c r="Q72" s="29">
        <v>89357.62</v>
      </c>
      <c r="R72" s="16"/>
    </row>
    <row r="73" spans="1:19" ht="28.5" hidden="1" customHeight="1">
      <c r="A73" s="590" t="s">
        <v>47</v>
      </c>
      <c r="B73" s="590"/>
      <c r="C73" s="21" t="s">
        <v>28</v>
      </c>
      <c r="D73" s="21" t="s">
        <v>28</v>
      </c>
      <c r="E73" s="21" t="s">
        <v>28</v>
      </c>
      <c r="F73" s="12" t="s">
        <v>28</v>
      </c>
      <c r="G73" s="26">
        <f t="shared" ref="G73:Q73" si="19">SUM(G74,G75)</f>
        <v>15</v>
      </c>
      <c r="H73" s="26">
        <f t="shared" si="19"/>
        <v>5</v>
      </c>
      <c r="I73" s="26">
        <f t="shared" si="19"/>
        <v>2</v>
      </c>
      <c r="J73" s="26">
        <f t="shared" si="19"/>
        <v>3</v>
      </c>
      <c r="K73" s="27">
        <f t="shared" si="19"/>
        <v>201.7</v>
      </c>
      <c r="L73" s="27">
        <f t="shared" si="19"/>
        <v>66.7</v>
      </c>
      <c r="M73" s="27">
        <f t="shared" si="19"/>
        <v>135</v>
      </c>
      <c r="N73" s="28">
        <f t="shared" si="19"/>
        <v>8603069.7599999998</v>
      </c>
      <c r="O73" s="28">
        <f t="shared" si="19"/>
        <v>0</v>
      </c>
      <c r="P73" s="28">
        <f t="shared" si="19"/>
        <v>8172916.2699999996</v>
      </c>
      <c r="Q73" s="28">
        <f t="shared" si="19"/>
        <v>430153.49</v>
      </c>
      <c r="R73" s="16"/>
    </row>
    <row r="74" spans="1:19" ht="28.5" hidden="1" customHeight="1">
      <c r="A74" s="40" t="s">
        <v>133</v>
      </c>
      <c r="B74" s="34" t="s">
        <v>134</v>
      </c>
      <c r="C74" s="12" t="s">
        <v>135</v>
      </c>
      <c r="D74" s="36">
        <v>42734</v>
      </c>
      <c r="E74" s="25" t="s">
        <v>37</v>
      </c>
      <c r="F74" s="45" t="s">
        <v>84</v>
      </c>
      <c r="G74" s="57">
        <v>11</v>
      </c>
      <c r="H74" s="13">
        <v>4</v>
      </c>
      <c r="I74" s="13">
        <v>2</v>
      </c>
      <c r="J74" s="13">
        <v>2</v>
      </c>
      <c r="K74" s="56">
        <v>152.69999999999999</v>
      </c>
      <c r="L74" s="56">
        <v>66.7</v>
      </c>
      <c r="M74" s="56">
        <v>86</v>
      </c>
      <c r="N74" s="28">
        <v>6513082.5599999996</v>
      </c>
      <c r="O74" s="14">
        <v>0</v>
      </c>
      <c r="P74" s="29">
        <v>6187428.4299999997</v>
      </c>
      <c r="Q74" s="29">
        <v>325654.13</v>
      </c>
      <c r="R74" s="59"/>
    </row>
    <row r="75" spans="1:19" ht="28.5" hidden="1" customHeight="1">
      <c r="A75" s="12" t="s">
        <v>136</v>
      </c>
      <c r="B75" s="34" t="s">
        <v>137</v>
      </c>
      <c r="C75" s="35" t="s">
        <v>138</v>
      </c>
      <c r="D75" s="36">
        <v>41565</v>
      </c>
      <c r="E75" s="25" t="s">
        <v>37</v>
      </c>
      <c r="F75" s="45" t="s">
        <v>84</v>
      </c>
      <c r="G75" s="13">
        <v>4</v>
      </c>
      <c r="H75" s="13">
        <v>1</v>
      </c>
      <c r="I75" s="13">
        <v>0</v>
      </c>
      <c r="J75" s="13">
        <v>1</v>
      </c>
      <c r="K75" s="14">
        <v>49</v>
      </c>
      <c r="L75" s="14">
        <v>0</v>
      </c>
      <c r="M75" s="14">
        <v>49</v>
      </c>
      <c r="N75" s="28">
        <v>2089987.2</v>
      </c>
      <c r="O75" s="14">
        <v>0</v>
      </c>
      <c r="P75" s="29">
        <v>1985487.84</v>
      </c>
      <c r="Q75" s="29">
        <v>104499.36</v>
      </c>
      <c r="R75" s="59"/>
    </row>
    <row r="76" spans="1:19" ht="28.5" hidden="1" customHeight="1">
      <c r="A76" s="590" t="s">
        <v>139</v>
      </c>
      <c r="B76" s="590"/>
      <c r="C76" s="21" t="s">
        <v>28</v>
      </c>
      <c r="D76" s="21" t="s">
        <v>28</v>
      </c>
      <c r="E76" s="21" t="s">
        <v>28</v>
      </c>
      <c r="F76" s="21" t="s">
        <v>28</v>
      </c>
      <c r="G76" s="13">
        <f t="shared" ref="G76:Q76" si="20">G77</f>
        <v>35</v>
      </c>
      <c r="H76" s="13">
        <f t="shared" si="20"/>
        <v>18</v>
      </c>
      <c r="I76" s="13">
        <f t="shared" si="20"/>
        <v>18</v>
      </c>
      <c r="J76" s="13">
        <f t="shared" si="20"/>
        <v>0</v>
      </c>
      <c r="K76" s="14">
        <f t="shared" si="20"/>
        <v>865.3</v>
      </c>
      <c r="L76" s="14">
        <f t="shared" si="20"/>
        <v>865.3</v>
      </c>
      <c r="M76" s="14">
        <f t="shared" si="20"/>
        <v>0</v>
      </c>
      <c r="N76" s="28">
        <f t="shared" si="20"/>
        <v>36907467.839999996</v>
      </c>
      <c r="O76" s="28">
        <f t="shared" si="20"/>
        <v>0</v>
      </c>
      <c r="P76" s="28">
        <f t="shared" si="20"/>
        <v>35062094.450000003</v>
      </c>
      <c r="Q76" s="28">
        <f t="shared" si="20"/>
        <v>1845373.39</v>
      </c>
      <c r="R76" s="59"/>
    </row>
    <row r="77" spans="1:19" ht="28.5" hidden="1" customHeight="1">
      <c r="A77" s="40" t="s">
        <v>140</v>
      </c>
      <c r="B77" s="22" t="s">
        <v>141</v>
      </c>
      <c r="C77" s="43" t="s">
        <v>53</v>
      </c>
      <c r="D77" s="24">
        <v>42479</v>
      </c>
      <c r="E77" s="25" t="s">
        <v>37</v>
      </c>
      <c r="F77" s="45" t="s">
        <v>84</v>
      </c>
      <c r="G77" s="26">
        <v>35</v>
      </c>
      <c r="H77" s="26">
        <v>18</v>
      </c>
      <c r="I77" s="26">
        <v>18</v>
      </c>
      <c r="J77" s="26">
        <v>0</v>
      </c>
      <c r="K77" s="27">
        <v>865.3</v>
      </c>
      <c r="L77" s="27">
        <v>865.3</v>
      </c>
      <c r="M77" s="27">
        <v>0</v>
      </c>
      <c r="N77" s="28">
        <v>36907467.839999996</v>
      </c>
      <c r="O77" s="14">
        <v>0</v>
      </c>
      <c r="P77" s="29">
        <v>35062094.450000003</v>
      </c>
      <c r="Q77" s="29">
        <v>1845373.39</v>
      </c>
      <c r="R77" s="59"/>
    </row>
    <row r="78" spans="1:19" ht="28.5" hidden="1" customHeight="1">
      <c r="A78" s="590" t="s">
        <v>142</v>
      </c>
      <c r="B78" s="590"/>
      <c r="C78" s="21" t="s">
        <v>28</v>
      </c>
      <c r="D78" s="21" t="s">
        <v>28</v>
      </c>
      <c r="E78" s="21" t="s">
        <v>28</v>
      </c>
      <c r="F78" s="21" t="s">
        <v>28</v>
      </c>
      <c r="G78" s="26">
        <f t="shared" ref="G78:Q78" si="21">SUM(G79:G82)</f>
        <v>36</v>
      </c>
      <c r="H78" s="26">
        <f t="shared" si="21"/>
        <v>13</v>
      </c>
      <c r="I78" s="26">
        <f t="shared" si="21"/>
        <v>2</v>
      </c>
      <c r="J78" s="26">
        <f t="shared" si="21"/>
        <v>11</v>
      </c>
      <c r="K78" s="27">
        <f t="shared" si="21"/>
        <v>421.84999999999997</v>
      </c>
      <c r="L78" s="27">
        <f t="shared" si="21"/>
        <v>63.86</v>
      </c>
      <c r="M78" s="27">
        <f t="shared" si="21"/>
        <v>357.99</v>
      </c>
      <c r="N78" s="27">
        <f t="shared" si="21"/>
        <v>0</v>
      </c>
      <c r="O78" s="27">
        <f t="shared" si="21"/>
        <v>0</v>
      </c>
      <c r="P78" s="27">
        <f t="shared" si="21"/>
        <v>0</v>
      </c>
      <c r="Q78" s="27">
        <f t="shared" si="21"/>
        <v>0</v>
      </c>
      <c r="R78" s="58"/>
    </row>
    <row r="79" spans="1:19" ht="28.5" hidden="1" customHeight="1">
      <c r="A79" s="12" t="s">
        <v>143</v>
      </c>
      <c r="B79" s="22" t="s">
        <v>144</v>
      </c>
      <c r="C79" s="43" t="s">
        <v>103</v>
      </c>
      <c r="D79" s="24">
        <v>41565</v>
      </c>
      <c r="E79" s="45" t="s">
        <v>37</v>
      </c>
      <c r="F79" s="45" t="s">
        <v>84</v>
      </c>
      <c r="G79" s="13">
        <v>20</v>
      </c>
      <c r="H79" s="13">
        <v>7</v>
      </c>
      <c r="I79" s="13">
        <v>0</v>
      </c>
      <c r="J79" s="13">
        <v>7</v>
      </c>
      <c r="K79" s="14">
        <v>211.61</v>
      </c>
      <c r="L79" s="14">
        <v>0</v>
      </c>
      <c r="M79" s="14">
        <v>211.61</v>
      </c>
      <c r="N79" s="28">
        <v>0</v>
      </c>
      <c r="O79" s="14">
        <v>0</v>
      </c>
      <c r="P79" s="29">
        <v>0</v>
      </c>
      <c r="Q79" s="28">
        <v>0</v>
      </c>
      <c r="R79" s="598" t="s">
        <v>142</v>
      </c>
    </row>
    <row r="80" spans="1:19" ht="28.5" hidden="1" customHeight="1">
      <c r="A80" s="12" t="s">
        <v>145</v>
      </c>
      <c r="B80" s="22" t="s">
        <v>146</v>
      </c>
      <c r="C80" s="23">
        <v>30</v>
      </c>
      <c r="D80" s="24">
        <v>41593</v>
      </c>
      <c r="E80" s="45" t="s">
        <v>37</v>
      </c>
      <c r="F80" s="45" t="s">
        <v>84</v>
      </c>
      <c r="G80" s="26">
        <v>5</v>
      </c>
      <c r="H80" s="26">
        <v>2</v>
      </c>
      <c r="I80" s="26">
        <v>0</v>
      </c>
      <c r="J80" s="26">
        <v>2</v>
      </c>
      <c r="K80" s="27">
        <v>81.33</v>
      </c>
      <c r="L80" s="27">
        <v>0</v>
      </c>
      <c r="M80" s="27">
        <v>81.33</v>
      </c>
      <c r="N80" s="28">
        <v>0</v>
      </c>
      <c r="O80" s="14">
        <v>0</v>
      </c>
      <c r="P80" s="29">
        <v>0</v>
      </c>
      <c r="Q80" s="28">
        <v>0</v>
      </c>
      <c r="R80" s="599"/>
    </row>
    <row r="81" spans="1:21" ht="28.5" hidden="1" customHeight="1">
      <c r="A81" s="40" t="s">
        <v>147</v>
      </c>
      <c r="B81" s="34" t="s">
        <v>118</v>
      </c>
      <c r="C81" s="12">
        <v>59</v>
      </c>
      <c r="D81" s="36">
        <v>41257</v>
      </c>
      <c r="E81" s="25" t="s">
        <v>37</v>
      </c>
      <c r="F81" s="45" t="s">
        <v>84</v>
      </c>
      <c r="G81" s="13">
        <v>9</v>
      </c>
      <c r="H81" s="13">
        <v>3</v>
      </c>
      <c r="I81" s="13">
        <v>2</v>
      </c>
      <c r="J81" s="13">
        <v>1</v>
      </c>
      <c r="K81" s="14">
        <v>107.85</v>
      </c>
      <c r="L81" s="14">
        <v>63.86</v>
      </c>
      <c r="M81" s="14">
        <v>43.99</v>
      </c>
      <c r="N81" s="28">
        <v>0</v>
      </c>
      <c r="O81" s="14">
        <v>0</v>
      </c>
      <c r="P81" s="29">
        <v>0</v>
      </c>
      <c r="Q81" s="28">
        <v>0</v>
      </c>
      <c r="R81" s="599"/>
    </row>
    <row r="82" spans="1:21" ht="28.5" hidden="1" customHeight="1">
      <c r="A82" s="40" t="s">
        <v>148</v>
      </c>
      <c r="B82" s="22" t="s">
        <v>149</v>
      </c>
      <c r="C82" s="21">
        <v>31</v>
      </c>
      <c r="D82" s="24">
        <v>41876</v>
      </c>
      <c r="E82" s="45" t="s">
        <v>37</v>
      </c>
      <c r="F82" s="45" t="s">
        <v>84</v>
      </c>
      <c r="G82" s="26">
        <v>2</v>
      </c>
      <c r="H82" s="26">
        <v>1</v>
      </c>
      <c r="I82" s="26">
        <v>0</v>
      </c>
      <c r="J82" s="26">
        <v>1</v>
      </c>
      <c r="K82" s="27">
        <v>21.06</v>
      </c>
      <c r="L82" s="27">
        <v>0</v>
      </c>
      <c r="M82" s="27">
        <v>21.06</v>
      </c>
      <c r="N82" s="29">
        <v>0</v>
      </c>
      <c r="O82" s="14">
        <v>0</v>
      </c>
      <c r="P82" s="29">
        <v>0</v>
      </c>
      <c r="Q82" s="29">
        <v>0</v>
      </c>
      <c r="R82" s="600"/>
    </row>
    <row r="83" spans="1:21" s="62" customFormat="1" ht="28.5" customHeight="1">
      <c r="A83" s="593" t="s">
        <v>150</v>
      </c>
      <c r="B83" s="593"/>
      <c r="C83" s="23" t="s">
        <v>28</v>
      </c>
      <c r="D83" s="24" t="s">
        <v>28</v>
      </c>
      <c r="E83" s="45" t="s">
        <v>28</v>
      </c>
      <c r="F83" s="45" t="s">
        <v>28</v>
      </c>
      <c r="G83" s="26"/>
      <c r="H83" s="26"/>
      <c r="I83" s="26"/>
      <c r="J83" s="26"/>
      <c r="K83" s="27"/>
      <c r="L83" s="27"/>
      <c r="M83" s="27"/>
      <c r="N83" s="28"/>
      <c r="O83" s="29"/>
      <c r="P83" s="29"/>
      <c r="Q83" s="29"/>
      <c r="R83" s="59"/>
      <c r="S83" s="60"/>
      <c r="T83" s="30"/>
      <c r="U83" s="61"/>
    </row>
    <row r="84" spans="1:21" s="1" customFormat="1" ht="28.5" hidden="1" customHeight="1">
      <c r="A84" s="591" t="s">
        <v>81</v>
      </c>
      <c r="B84" s="592"/>
      <c r="C84" s="21" t="s">
        <v>28</v>
      </c>
      <c r="D84" s="21" t="s">
        <v>28</v>
      </c>
      <c r="E84" s="21" t="s">
        <v>28</v>
      </c>
      <c r="F84" s="21" t="s">
        <v>28</v>
      </c>
      <c r="G84" s="26">
        <f>SUM(G85:G86)</f>
        <v>60</v>
      </c>
      <c r="H84" s="26">
        <f t="shared" ref="H84:Q84" si="22">SUM(H85:H86)</f>
        <v>39</v>
      </c>
      <c r="I84" s="26">
        <f t="shared" si="22"/>
        <v>22</v>
      </c>
      <c r="J84" s="26">
        <f t="shared" si="22"/>
        <v>17</v>
      </c>
      <c r="K84" s="27">
        <f t="shared" si="22"/>
        <v>927.58999999999992</v>
      </c>
      <c r="L84" s="27">
        <f t="shared" si="22"/>
        <v>508.42999999999995</v>
      </c>
      <c r="M84" s="27">
        <f t="shared" si="22"/>
        <v>419.15999999999997</v>
      </c>
      <c r="N84" s="28">
        <f t="shared" si="22"/>
        <v>44524319.999999993</v>
      </c>
      <c r="O84" s="29">
        <f t="shared" si="22"/>
        <v>32717673.963861108</v>
      </c>
      <c r="P84" s="29">
        <f t="shared" si="22"/>
        <v>11216313.738331944</v>
      </c>
      <c r="Q84" s="29">
        <f t="shared" si="22"/>
        <v>590332.30209874082</v>
      </c>
      <c r="R84" s="59"/>
      <c r="S84" s="60"/>
      <c r="T84" s="30"/>
      <c r="U84" s="61"/>
    </row>
    <row r="85" spans="1:21" ht="28.5" hidden="1" customHeight="1">
      <c r="A85" s="40" t="s">
        <v>151</v>
      </c>
      <c r="B85" s="22" t="s">
        <v>152</v>
      </c>
      <c r="C85" s="21" t="s">
        <v>153</v>
      </c>
      <c r="D85" s="24">
        <v>42733</v>
      </c>
      <c r="E85" s="25" t="s">
        <v>84</v>
      </c>
      <c r="F85" s="45" t="s">
        <v>154</v>
      </c>
      <c r="G85" s="26">
        <v>20</v>
      </c>
      <c r="H85" s="26">
        <v>11</v>
      </c>
      <c r="I85" s="26">
        <v>6</v>
      </c>
      <c r="J85" s="26">
        <v>5</v>
      </c>
      <c r="K85" s="27">
        <v>358.99</v>
      </c>
      <c r="L85" s="27">
        <v>193.53</v>
      </c>
      <c r="M85" s="27">
        <v>165.46</v>
      </c>
      <c r="N85" s="28">
        <f>K85*1.2*40000</f>
        <v>17231520</v>
      </c>
      <c r="O85" s="29">
        <v>12662186.720000001</v>
      </c>
      <c r="P85" s="29">
        <v>4340866.62</v>
      </c>
      <c r="Q85" s="29">
        <v>228466.66429179627</v>
      </c>
      <c r="R85" s="59"/>
    </row>
    <row r="86" spans="1:21" ht="28.5" hidden="1" customHeight="1">
      <c r="A86" s="40" t="s">
        <v>155</v>
      </c>
      <c r="B86" s="22" t="s">
        <v>156</v>
      </c>
      <c r="C86" s="21" t="s">
        <v>157</v>
      </c>
      <c r="D86" s="24">
        <v>42732</v>
      </c>
      <c r="E86" s="25" t="s">
        <v>84</v>
      </c>
      <c r="F86" s="45" t="s">
        <v>154</v>
      </c>
      <c r="G86" s="26">
        <v>40</v>
      </c>
      <c r="H86" s="26">
        <v>28</v>
      </c>
      <c r="I86" s="26">
        <v>16</v>
      </c>
      <c r="J86" s="26">
        <v>12</v>
      </c>
      <c r="K86" s="27">
        <v>568.59999999999991</v>
      </c>
      <c r="L86" s="27">
        <v>314.89999999999998</v>
      </c>
      <c r="M86" s="27">
        <v>253.7</v>
      </c>
      <c r="N86" s="28">
        <f>K86*1.2*40000</f>
        <v>27292799.999999993</v>
      </c>
      <c r="O86" s="29">
        <v>20055487.243861105</v>
      </c>
      <c r="P86" s="29">
        <v>6875447.1183319427</v>
      </c>
      <c r="Q86" s="29">
        <v>361865.63780694455</v>
      </c>
      <c r="R86" s="59"/>
    </row>
    <row r="87" spans="1:21" ht="29.25" hidden="1" customHeight="1">
      <c r="A87" s="591" t="s">
        <v>158</v>
      </c>
      <c r="B87" s="592"/>
      <c r="C87" s="21" t="s">
        <v>28</v>
      </c>
      <c r="D87" s="21" t="s">
        <v>28</v>
      </c>
      <c r="E87" s="21" t="s">
        <v>28</v>
      </c>
      <c r="F87" s="21" t="s">
        <v>28</v>
      </c>
      <c r="G87" s="26">
        <f>SUM(G88:G89)</f>
        <v>12</v>
      </c>
      <c r="H87" s="26">
        <f t="shared" ref="H87:Q87" si="23">SUM(H88:H89)</f>
        <v>7</v>
      </c>
      <c r="I87" s="26">
        <f t="shared" si="23"/>
        <v>6</v>
      </c>
      <c r="J87" s="26">
        <f t="shared" si="23"/>
        <v>1</v>
      </c>
      <c r="K87" s="27">
        <f t="shared" si="23"/>
        <v>265.3</v>
      </c>
      <c r="L87" s="27">
        <f t="shared" si="23"/>
        <v>205.3</v>
      </c>
      <c r="M87" s="27">
        <f t="shared" si="23"/>
        <v>60</v>
      </c>
      <c r="N87" s="28">
        <f t="shared" si="23"/>
        <v>12734400</v>
      </c>
      <c r="O87" s="29">
        <f t="shared" si="23"/>
        <v>9357581.3699999992</v>
      </c>
      <c r="P87" s="29">
        <f t="shared" si="23"/>
        <v>3207977.7</v>
      </c>
      <c r="Q87" s="29">
        <f t="shared" si="23"/>
        <v>168840.93</v>
      </c>
      <c r="R87" s="16"/>
      <c r="T87" s="1"/>
    </row>
    <row r="88" spans="1:21" ht="28.5" hidden="1" customHeight="1">
      <c r="A88" s="40" t="s">
        <v>159</v>
      </c>
      <c r="B88" s="22" t="s">
        <v>160</v>
      </c>
      <c r="C88" s="23">
        <v>97</v>
      </c>
      <c r="D88" s="24">
        <v>42416</v>
      </c>
      <c r="E88" s="25" t="s">
        <v>84</v>
      </c>
      <c r="F88" s="45" t="s">
        <v>154</v>
      </c>
      <c r="G88" s="26">
        <v>11</v>
      </c>
      <c r="H88" s="26">
        <v>6</v>
      </c>
      <c r="I88" s="26">
        <v>6</v>
      </c>
      <c r="J88" s="26">
        <v>0</v>
      </c>
      <c r="K88" s="27">
        <v>205.3</v>
      </c>
      <c r="L88" s="27">
        <v>205.3</v>
      </c>
      <c r="M88" s="27">
        <v>0</v>
      </c>
      <c r="N88" s="28">
        <f>K88*1.2*40000</f>
        <v>9854400</v>
      </c>
      <c r="O88" s="29">
        <v>7241279.5199999996</v>
      </c>
      <c r="P88" s="29">
        <v>2482464.46</v>
      </c>
      <c r="Q88" s="29">
        <v>130656.02</v>
      </c>
      <c r="R88" s="16"/>
      <c r="S88" s="30"/>
    </row>
    <row r="89" spans="1:21" ht="28.5" hidden="1" customHeight="1">
      <c r="A89" s="40" t="s">
        <v>161</v>
      </c>
      <c r="B89" s="22" t="s">
        <v>162</v>
      </c>
      <c r="C89" s="21">
        <v>357</v>
      </c>
      <c r="D89" s="24">
        <v>42508</v>
      </c>
      <c r="E89" s="25" t="s">
        <v>84</v>
      </c>
      <c r="F89" s="45" t="s">
        <v>154</v>
      </c>
      <c r="G89" s="26">
        <v>1</v>
      </c>
      <c r="H89" s="26">
        <v>1</v>
      </c>
      <c r="I89" s="26">
        <v>0</v>
      </c>
      <c r="J89" s="26">
        <v>1</v>
      </c>
      <c r="K89" s="27">
        <v>60</v>
      </c>
      <c r="L89" s="27">
        <v>0</v>
      </c>
      <c r="M89" s="27">
        <v>60</v>
      </c>
      <c r="N89" s="28">
        <f>K89*1.2*40000</f>
        <v>2880000</v>
      </c>
      <c r="O89" s="29">
        <v>2116301.85</v>
      </c>
      <c r="P89" s="29">
        <v>725513.24</v>
      </c>
      <c r="Q89" s="29">
        <v>38184.910000000003</v>
      </c>
      <c r="R89" s="16"/>
      <c r="S89" s="30"/>
    </row>
    <row r="90" spans="1:21" ht="28.5" hidden="1" customHeight="1">
      <c r="A90" s="591" t="s">
        <v>87</v>
      </c>
      <c r="B90" s="592"/>
      <c r="C90" s="21" t="s">
        <v>28</v>
      </c>
      <c r="D90" s="21" t="s">
        <v>28</v>
      </c>
      <c r="E90" s="21" t="s">
        <v>28</v>
      </c>
      <c r="F90" s="21" t="s">
        <v>28</v>
      </c>
      <c r="G90" s="57">
        <f>SUM(G91:G97)</f>
        <v>72</v>
      </c>
      <c r="H90" s="13">
        <f t="shared" ref="H90:Q90" si="24">SUM(H91:H97)</f>
        <v>42</v>
      </c>
      <c r="I90" s="13">
        <f t="shared" si="24"/>
        <v>20</v>
      </c>
      <c r="J90" s="13">
        <f t="shared" si="24"/>
        <v>22</v>
      </c>
      <c r="K90" s="56">
        <f t="shared" si="24"/>
        <v>1291.9000000000001</v>
      </c>
      <c r="L90" s="56">
        <f t="shared" si="24"/>
        <v>631.51</v>
      </c>
      <c r="M90" s="56">
        <f t="shared" si="24"/>
        <v>660.39</v>
      </c>
      <c r="N90" s="28">
        <f t="shared" si="24"/>
        <v>62011200</v>
      </c>
      <c r="O90" s="29">
        <f>K90*37618*0.937628198728716</f>
        <v>45567506.103313699</v>
      </c>
      <c r="P90" s="29">
        <f t="shared" si="24"/>
        <v>15621509.200000003</v>
      </c>
      <c r="Q90" s="29">
        <f t="shared" si="24"/>
        <v>822184.6980108663</v>
      </c>
      <c r="R90" s="59"/>
      <c r="S90" s="30"/>
      <c r="T90" s="30"/>
    </row>
    <row r="91" spans="1:21" ht="28.5" hidden="1" customHeight="1">
      <c r="A91" s="12" t="s">
        <v>163</v>
      </c>
      <c r="B91" s="34" t="s">
        <v>164</v>
      </c>
      <c r="C91" s="12">
        <v>5</v>
      </c>
      <c r="D91" s="36">
        <v>41110</v>
      </c>
      <c r="E91" s="25" t="s">
        <v>84</v>
      </c>
      <c r="F91" s="45" t="s">
        <v>154</v>
      </c>
      <c r="G91" s="57">
        <v>14</v>
      </c>
      <c r="H91" s="13">
        <v>10</v>
      </c>
      <c r="I91" s="13">
        <v>6</v>
      </c>
      <c r="J91" s="13">
        <v>4</v>
      </c>
      <c r="K91" s="56">
        <v>258.8</v>
      </c>
      <c r="L91" s="56">
        <v>154.5</v>
      </c>
      <c r="M91" s="56">
        <v>104.30000000000001</v>
      </c>
      <c r="N91" s="28">
        <v>12422400</v>
      </c>
      <c r="O91" s="29">
        <v>9128315.3336462509</v>
      </c>
      <c r="P91" s="29">
        <v>3129380.43</v>
      </c>
      <c r="Q91" s="29">
        <v>164704.24</v>
      </c>
      <c r="R91" s="59"/>
      <c r="S91" s="30"/>
      <c r="T91" s="30"/>
      <c r="U91" s="61"/>
    </row>
    <row r="92" spans="1:21" ht="28.5" hidden="1" customHeight="1">
      <c r="A92" s="12" t="s">
        <v>165</v>
      </c>
      <c r="B92" s="34" t="s">
        <v>166</v>
      </c>
      <c r="C92" s="35">
        <v>22</v>
      </c>
      <c r="D92" s="36">
        <v>41085</v>
      </c>
      <c r="E92" s="25" t="s">
        <v>84</v>
      </c>
      <c r="F92" s="45" t="s">
        <v>154</v>
      </c>
      <c r="G92" s="13">
        <v>5</v>
      </c>
      <c r="H92" s="13">
        <v>4</v>
      </c>
      <c r="I92" s="13">
        <v>0</v>
      </c>
      <c r="J92" s="13">
        <v>4</v>
      </c>
      <c r="K92" s="14">
        <v>92.6</v>
      </c>
      <c r="L92" s="14">
        <v>0</v>
      </c>
      <c r="M92" s="14">
        <v>92.6</v>
      </c>
      <c r="N92" s="28">
        <v>4444800</v>
      </c>
      <c r="O92" s="29">
        <v>3266159.1958873346</v>
      </c>
      <c r="P92" s="29">
        <v>1119708.76</v>
      </c>
      <c r="Q92" s="29">
        <v>58932.040205633268</v>
      </c>
      <c r="R92" s="59"/>
      <c r="S92" s="30"/>
      <c r="T92" s="30"/>
      <c r="U92" s="61"/>
    </row>
    <row r="93" spans="1:21" ht="28.5" hidden="1" customHeight="1">
      <c r="A93" s="12" t="s">
        <v>167</v>
      </c>
      <c r="B93" s="34" t="s">
        <v>168</v>
      </c>
      <c r="C93" s="12">
        <v>20</v>
      </c>
      <c r="D93" s="36">
        <v>41085</v>
      </c>
      <c r="E93" s="25" t="s">
        <v>84</v>
      </c>
      <c r="F93" s="45" t="s">
        <v>154</v>
      </c>
      <c r="G93" s="57">
        <v>15</v>
      </c>
      <c r="H93" s="13">
        <v>6</v>
      </c>
      <c r="I93" s="13">
        <v>5</v>
      </c>
      <c r="J93" s="13">
        <v>1</v>
      </c>
      <c r="K93" s="56">
        <v>217</v>
      </c>
      <c r="L93" s="56">
        <v>193.6</v>
      </c>
      <c r="M93" s="56">
        <v>23.4</v>
      </c>
      <c r="N93" s="28">
        <v>10416000</v>
      </c>
      <c r="O93" s="29">
        <v>7653958.3748115739</v>
      </c>
      <c r="P93" s="29">
        <v>2623939.5499999998</v>
      </c>
      <c r="Q93" s="29">
        <v>138102.08125942154</v>
      </c>
      <c r="R93" s="59"/>
      <c r="S93" s="30"/>
      <c r="T93" s="30"/>
      <c r="U93" s="61"/>
    </row>
    <row r="94" spans="1:21" ht="28.5" hidden="1" customHeight="1">
      <c r="A94" s="12" t="s">
        <v>169</v>
      </c>
      <c r="B94" s="34" t="s">
        <v>170</v>
      </c>
      <c r="C94" s="35">
        <v>21</v>
      </c>
      <c r="D94" s="36">
        <v>41085</v>
      </c>
      <c r="E94" s="25" t="s">
        <v>84</v>
      </c>
      <c r="F94" s="45" t="s">
        <v>154</v>
      </c>
      <c r="G94" s="13">
        <v>8</v>
      </c>
      <c r="H94" s="13">
        <v>7</v>
      </c>
      <c r="I94" s="13">
        <v>2</v>
      </c>
      <c r="J94" s="13">
        <v>5</v>
      </c>
      <c r="K94" s="14">
        <v>152.6</v>
      </c>
      <c r="L94" s="14">
        <v>66</v>
      </c>
      <c r="M94" s="14">
        <v>86.6</v>
      </c>
      <c r="N94" s="28">
        <v>7324799.9999999991</v>
      </c>
      <c r="O94" s="29">
        <v>5382461.0506739449</v>
      </c>
      <c r="P94" s="29">
        <v>1845222</v>
      </c>
      <c r="Q94" s="29">
        <v>97116.947466302896</v>
      </c>
      <c r="R94" s="59"/>
      <c r="S94" s="30"/>
      <c r="T94" s="30"/>
      <c r="U94" s="61"/>
    </row>
    <row r="95" spans="1:21" ht="28.5" hidden="1" customHeight="1">
      <c r="A95" s="12" t="s">
        <v>171</v>
      </c>
      <c r="B95" s="22" t="s">
        <v>172</v>
      </c>
      <c r="C95" s="23">
        <v>25</v>
      </c>
      <c r="D95" s="24">
        <v>41085</v>
      </c>
      <c r="E95" s="25" t="s">
        <v>84</v>
      </c>
      <c r="F95" s="45" t="s">
        <v>154</v>
      </c>
      <c r="G95" s="26">
        <v>11</v>
      </c>
      <c r="H95" s="26">
        <v>6</v>
      </c>
      <c r="I95" s="26">
        <v>5</v>
      </c>
      <c r="J95" s="26">
        <v>1</v>
      </c>
      <c r="K95" s="27">
        <v>206.01</v>
      </c>
      <c r="L95" s="27">
        <v>173.41</v>
      </c>
      <c r="M95" s="27">
        <v>32.6</v>
      </c>
      <c r="N95" s="28">
        <v>9888480</v>
      </c>
      <c r="O95" s="29">
        <v>7266322.4184098262</v>
      </c>
      <c r="P95" s="29">
        <v>2491049.7000000002</v>
      </c>
      <c r="Q95" s="29">
        <v>131107.8790795086</v>
      </c>
      <c r="R95" s="59"/>
    </row>
    <row r="96" spans="1:21" ht="28.5" hidden="1" customHeight="1">
      <c r="A96" s="40" t="s">
        <v>173</v>
      </c>
      <c r="B96" s="22" t="s">
        <v>174</v>
      </c>
      <c r="C96" s="23">
        <v>24</v>
      </c>
      <c r="D96" s="24">
        <v>41085</v>
      </c>
      <c r="E96" s="25" t="s">
        <v>84</v>
      </c>
      <c r="F96" s="45" t="s">
        <v>154</v>
      </c>
      <c r="G96" s="26">
        <v>17</v>
      </c>
      <c r="H96" s="26">
        <v>7</v>
      </c>
      <c r="I96" s="26">
        <v>0</v>
      </c>
      <c r="J96" s="26">
        <v>7</v>
      </c>
      <c r="K96" s="27">
        <v>320.89</v>
      </c>
      <c r="L96" s="27">
        <v>0</v>
      </c>
      <c r="M96" s="27">
        <v>320.89</v>
      </c>
      <c r="N96" s="28">
        <v>15402720</v>
      </c>
      <c r="O96" s="29">
        <v>11318335.036374589</v>
      </c>
      <c r="P96" s="29">
        <v>3880165.72</v>
      </c>
      <c r="Q96" s="29">
        <v>204219.24</v>
      </c>
      <c r="R96" s="59"/>
    </row>
    <row r="97" spans="1:36" ht="26.25" hidden="1" customHeight="1">
      <c r="A97" s="40" t="s">
        <v>175</v>
      </c>
      <c r="B97" s="22" t="s">
        <v>176</v>
      </c>
      <c r="C97" s="43" t="s">
        <v>177</v>
      </c>
      <c r="D97" s="24">
        <v>41085</v>
      </c>
      <c r="E97" s="25" t="s">
        <v>84</v>
      </c>
      <c r="F97" s="45" t="s">
        <v>154</v>
      </c>
      <c r="G97" s="26">
        <v>2</v>
      </c>
      <c r="H97" s="26">
        <v>2</v>
      </c>
      <c r="I97" s="26">
        <v>2</v>
      </c>
      <c r="J97" s="26">
        <v>0</v>
      </c>
      <c r="K97" s="27">
        <v>44</v>
      </c>
      <c r="L97" s="27">
        <v>44</v>
      </c>
      <c r="M97" s="27">
        <v>0</v>
      </c>
      <c r="N97" s="28">
        <v>2112000</v>
      </c>
      <c r="O97" s="29">
        <v>1551954.6935101808</v>
      </c>
      <c r="P97" s="29">
        <v>532043.04</v>
      </c>
      <c r="Q97" s="29">
        <v>28002.27</v>
      </c>
      <c r="R97" s="59"/>
    </row>
    <row r="98" spans="1:36" ht="28.5" hidden="1" customHeight="1">
      <c r="A98" s="591" t="s">
        <v>178</v>
      </c>
      <c r="B98" s="592"/>
      <c r="C98" s="21" t="s">
        <v>28</v>
      </c>
      <c r="D98" s="21" t="s">
        <v>28</v>
      </c>
      <c r="E98" s="21" t="s">
        <v>28</v>
      </c>
      <c r="F98" s="21" t="s">
        <v>28</v>
      </c>
      <c r="G98" s="57">
        <f t="shared" ref="G98:Q98" si="25">G99</f>
        <v>16</v>
      </c>
      <c r="H98" s="57">
        <f t="shared" si="25"/>
        <v>8</v>
      </c>
      <c r="I98" s="57">
        <f t="shared" si="25"/>
        <v>4</v>
      </c>
      <c r="J98" s="57">
        <f t="shared" si="25"/>
        <v>4</v>
      </c>
      <c r="K98" s="56">
        <f t="shared" si="25"/>
        <v>188.42</v>
      </c>
      <c r="L98" s="56">
        <f t="shared" si="25"/>
        <v>93.52</v>
      </c>
      <c r="M98" s="56">
        <f t="shared" si="25"/>
        <v>94.899999999999991</v>
      </c>
      <c r="N98" s="28">
        <f t="shared" si="25"/>
        <v>9044160</v>
      </c>
      <c r="O98" s="29">
        <f>K98*37618*0.937628198728716</f>
        <v>6645893.2579815509</v>
      </c>
      <c r="P98" s="28">
        <f t="shared" si="25"/>
        <v>2278353.4049175265</v>
      </c>
      <c r="Q98" s="28">
        <f t="shared" si="25"/>
        <v>119913.3371009226</v>
      </c>
      <c r="R98" s="59"/>
      <c r="S98" s="30"/>
    </row>
    <row r="99" spans="1:36" ht="28.5" hidden="1" customHeight="1">
      <c r="A99" s="12" t="s">
        <v>179</v>
      </c>
      <c r="B99" s="34" t="s">
        <v>180</v>
      </c>
      <c r="C99" s="12" t="s">
        <v>181</v>
      </c>
      <c r="D99" s="36">
        <v>41582</v>
      </c>
      <c r="E99" s="25" t="s">
        <v>84</v>
      </c>
      <c r="F99" s="45" t="s">
        <v>154</v>
      </c>
      <c r="G99" s="57">
        <v>16</v>
      </c>
      <c r="H99" s="13">
        <v>8</v>
      </c>
      <c r="I99" s="13">
        <v>4</v>
      </c>
      <c r="J99" s="13">
        <v>4</v>
      </c>
      <c r="K99" s="56">
        <v>188.42</v>
      </c>
      <c r="L99" s="56">
        <v>93.52</v>
      </c>
      <c r="M99" s="56">
        <v>94.899999999999991</v>
      </c>
      <c r="N99" s="28">
        <f>K99*1.2*40000</f>
        <v>9044160</v>
      </c>
      <c r="O99" s="29">
        <f>K99*37618*0.937628198728716</f>
        <v>6645893.2579815509</v>
      </c>
      <c r="P99" s="29">
        <f>(N99-O99)*0.95</f>
        <v>2278353.4049175265</v>
      </c>
      <c r="Q99" s="29">
        <f>N99-O99-P99</f>
        <v>119913.3371009226</v>
      </c>
      <c r="R99" s="59"/>
      <c r="S99" s="30"/>
      <c r="T99" s="30"/>
      <c r="U99" s="61"/>
    </row>
    <row r="100" spans="1:36" ht="28.5" hidden="1" customHeight="1">
      <c r="A100" s="591" t="s">
        <v>54</v>
      </c>
      <c r="B100" s="592"/>
      <c r="C100" s="21" t="s">
        <v>28</v>
      </c>
      <c r="D100" s="21" t="s">
        <v>28</v>
      </c>
      <c r="E100" s="21" t="s">
        <v>28</v>
      </c>
      <c r="F100" s="21" t="s">
        <v>28</v>
      </c>
      <c r="G100" s="57">
        <f t="shared" ref="G100:Q100" si="26">SUM(G101,G102)</f>
        <v>70</v>
      </c>
      <c r="H100" s="57">
        <f t="shared" si="26"/>
        <v>25</v>
      </c>
      <c r="I100" s="57">
        <f t="shared" si="26"/>
        <v>9</v>
      </c>
      <c r="J100" s="57">
        <f t="shared" si="26"/>
        <v>16</v>
      </c>
      <c r="K100" s="56">
        <f t="shared" si="26"/>
        <v>630.22</v>
      </c>
      <c r="L100" s="56">
        <f t="shared" si="26"/>
        <v>237.19</v>
      </c>
      <c r="M100" s="56">
        <f t="shared" si="26"/>
        <v>393.03</v>
      </c>
      <c r="N100" s="28">
        <f t="shared" si="26"/>
        <v>30250559.999999996</v>
      </c>
      <c r="O100" s="29">
        <f>K100*37618*0.937628198728716</f>
        <v>22228929.24872696</v>
      </c>
      <c r="P100" s="28">
        <f t="shared" si="26"/>
        <v>7620549.2137093861</v>
      </c>
      <c r="Q100" s="28">
        <f t="shared" si="26"/>
        <v>401081.5375636518</v>
      </c>
      <c r="R100" s="59"/>
      <c r="S100" s="30"/>
    </row>
    <row r="101" spans="1:36" ht="28.5" hidden="1" customHeight="1">
      <c r="A101" s="12" t="s">
        <v>182</v>
      </c>
      <c r="B101" s="34" t="s">
        <v>183</v>
      </c>
      <c r="C101" s="35">
        <v>69</v>
      </c>
      <c r="D101" s="36">
        <v>41027</v>
      </c>
      <c r="E101" s="25" t="s">
        <v>84</v>
      </c>
      <c r="F101" s="45" t="s">
        <v>154</v>
      </c>
      <c r="G101" s="13">
        <v>52</v>
      </c>
      <c r="H101" s="13">
        <v>17</v>
      </c>
      <c r="I101" s="13">
        <v>4</v>
      </c>
      <c r="J101" s="13">
        <v>13</v>
      </c>
      <c r="K101" s="14">
        <v>360.21</v>
      </c>
      <c r="L101" s="14">
        <v>80.180000000000007</v>
      </c>
      <c r="M101" s="14">
        <v>280.02999999999997</v>
      </c>
      <c r="N101" s="28">
        <f>K101*1.2*40000</f>
        <v>17290079.999999996</v>
      </c>
      <c r="O101" s="29">
        <f>K101*37618*0.937628198728716</f>
        <v>12705218.185211414</v>
      </c>
      <c r="P101" s="29">
        <f>(N101-O101)*0.95</f>
        <v>4355618.7240491528</v>
      </c>
      <c r="Q101" s="29">
        <f>N101-O101-P101</f>
        <v>229243.090739429</v>
      </c>
      <c r="R101" s="59"/>
      <c r="S101" s="30"/>
      <c r="T101" s="30"/>
      <c r="U101" s="61"/>
    </row>
    <row r="102" spans="1:36" ht="28.5" hidden="1" customHeight="1">
      <c r="A102" s="12" t="s">
        <v>184</v>
      </c>
      <c r="B102" s="34" t="s">
        <v>185</v>
      </c>
      <c r="C102" s="12">
        <v>71</v>
      </c>
      <c r="D102" s="36">
        <v>41027</v>
      </c>
      <c r="E102" s="25" t="s">
        <v>84</v>
      </c>
      <c r="F102" s="45" t="s">
        <v>154</v>
      </c>
      <c r="G102" s="57">
        <v>18</v>
      </c>
      <c r="H102" s="13">
        <v>8</v>
      </c>
      <c r="I102" s="13">
        <v>5</v>
      </c>
      <c r="J102" s="13">
        <v>3</v>
      </c>
      <c r="K102" s="56">
        <v>270.01</v>
      </c>
      <c r="L102" s="56">
        <v>157.01</v>
      </c>
      <c r="M102" s="56">
        <v>113</v>
      </c>
      <c r="N102" s="28">
        <f>K102*1.2*40000</f>
        <v>12960480</v>
      </c>
      <c r="O102" s="29">
        <f>K102*37618*0.937628198728716</f>
        <v>9523711.0635155439</v>
      </c>
      <c r="P102" s="29">
        <f>(N102-O102)*0.95</f>
        <v>3264930.4896602333</v>
      </c>
      <c r="Q102" s="29">
        <f>N102-O102-P102</f>
        <v>171838.4468242228</v>
      </c>
      <c r="R102" s="59"/>
      <c r="S102" s="30"/>
      <c r="T102" s="30"/>
      <c r="U102" s="61"/>
    </row>
    <row r="103" spans="1:36" ht="28.5" customHeight="1">
      <c r="A103" s="601" t="s">
        <v>94</v>
      </c>
      <c r="B103" s="602"/>
      <c r="C103" s="50" t="s">
        <v>28</v>
      </c>
      <c r="D103" s="50" t="s">
        <v>28</v>
      </c>
      <c r="E103" s="50" t="s">
        <v>28</v>
      </c>
      <c r="F103" s="50" t="s">
        <v>28</v>
      </c>
      <c r="G103" s="63">
        <f>SUM(G104:G110)</f>
        <v>131</v>
      </c>
      <c r="H103" s="64">
        <f t="shared" ref="H103:Q103" si="27">SUM(H104:H110)</f>
        <v>46</v>
      </c>
      <c r="I103" s="64">
        <f t="shared" si="27"/>
        <v>28</v>
      </c>
      <c r="J103" s="64">
        <f t="shared" si="27"/>
        <v>18</v>
      </c>
      <c r="K103" s="65">
        <f t="shared" si="27"/>
        <v>1720.5800000000002</v>
      </c>
      <c r="L103" s="65">
        <f t="shared" si="27"/>
        <v>953.19</v>
      </c>
      <c r="M103" s="65">
        <f t="shared" si="27"/>
        <v>767.39</v>
      </c>
      <c r="N103" s="53">
        <f t="shared" si="27"/>
        <v>97040712</v>
      </c>
      <c r="O103" s="66">
        <f t="shared" si="27"/>
        <v>60687777.420000002</v>
      </c>
      <c r="P103" s="66">
        <f t="shared" si="27"/>
        <v>29082347.663999997</v>
      </c>
      <c r="Q103" s="66">
        <f t="shared" si="27"/>
        <v>7270586.9159999974</v>
      </c>
      <c r="R103" s="59"/>
      <c r="S103" s="30"/>
    </row>
    <row r="104" spans="1:36" ht="28.5" customHeight="1">
      <c r="A104" s="12" t="s">
        <v>186</v>
      </c>
      <c r="B104" s="34" t="s">
        <v>187</v>
      </c>
      <c r="C104" s="12" t="s">
        <v>188</v>
      </c>
      <c r="D104" s="36">
        <v>41234</v>
      </c>
      <c r="E104" s="25" t="s">
        <v>84</v>
      </c>
      <c r="F104" s="45" t="s">
        <v>154</v>
      </c>
      <c r="G104" s="57">
        <v>25</v>
      </c>
      <c r="H104" s="13">
        <v>10</v>
      </c>
      <c r="I104" s="13">
        <v>8</v>
      </c>
      <c r="J104" s="13">
        <v>2</v>
      </c>
      <c r="K104" s="56">
        <v>267.74</v>
      </c>
      <c r="L104" s="56">
        <v>200.35</v>
      </c>
      <c r="M104" s="56">
        <v>67.39</v>
      </c>
      <c r="N104" s="28">
        <f>K104*1.2*47000</f>
        <v>15100536</v>
      </c>
      <c r="O104" s="29">
        <v>9443644.3100000005</v>
      </c>
      <c r="P104" s="29">
        <f>(N104-O104)*0.8</f>
        <v>4525513.352</v>
      </c>
      <c r="Q104" s="29">
        <f>N104-O104-P104</f>
        <v>1131378.3379999995</v>
      </c>
      <c r="R104" s="59"/>
      <c r="S104" s="30"/>
      <c r="T104" s="67"/>
      <c r="U104" s="61"/>
      <c r="AJ104">
        <f>N104/K104</f>
        <v>56400</v>
      </c>
    </row>
    <row r="105" spans="1:36" ht="28.5" customHeight="1">
      <c r="A105" s="12" t="s">
        <v>189</v>
      </c>
      <c r="B105" s="34" t="s">
        <v>190</v>
      </c>
      <c r="C105" s="35" t="s">
        <v>191</v>
      </c>
      <c r="D105" s="36">
        <v>41099</v>
      </c>
      <c r="E105" s="25" t="s">
        <v>84</v>
      </c>
      <c r="F105" s="45" t="s">
        <v>154</v>
      </c>
      <c r="G105" s="13">
        <v>19</v>
      </c>
      <c r="H105" s="13">
        <v>4</v>
      </c>
      <c r="I105" s="13">
        <v>3</v>
      </c>
      <c r="J105" s="13">
        <v>1</v>
      </c>
      <c r="K105" s="14">
        <v>199.33</v>
      </c>
      <c r="L105" s="14">
        <v>149.29</v>
      </c>
      <c r="M105" s="14">
        <v>50.04</v>
      </c>
      <c r="N105" s="28">
        <f t="shared" ref="N105:N120" si="28">K105*1.2*47000</f>
        <v>11242212</v>
      </c>
      <c r="O105" s="29">
        <v>7030707.4800000004</v>
      </c>
      <c r="P105" s="29">
        <f t="shared" ref="P105:P110" si="29">(N105-O105)*0.8</f>
        <v>3369203.6159999999</v>
      </c>
      <c r="Q105" s="29">
        <f t="shared" ref="Q105:Q110" si="30">N105-O105-P105</f>
        <v>842300.90399999963</v>
      </c>
      <c r="R105" s="59"/>
      <c r="S105" s="30"/>
      <c r="T105" s="67"/>
      <c r="U105" s="61"/>
    </row>
    <row r="106" spans="1:36" ht="28.5" customHeight="1">
      <c r="A106" s="12" t="s">
        <v>192</v>
      </c>
      <c r="B106" s="34" t="s">
        <v>193</v>
      </c>
      <c r="C106" s="12" t="s">
        <v>194</v>
      </c>
      <c r="D106" s="36">
        <v>41713</v>
      </c>
      <c r="E106" s="25" t="s">
        <v>84</v>
      </c>
      <c r="F106" s="45" t="s">
        <v>154</v>
      </c>
      <c r="G106" s="57">
        <v>30</v>
      </c>
      <c r="H106" s="13">
        <v>9</v>
      </c>
      <c r="I106" s="13">
        <v>3</v>
      </c>
      <c r="J106" s="13">
        <v>6</v>
      </c>
      <c r="K106" s="56">
        <v>416.04</v>
      </c>
      <c r="L106" s="56">
        <v>152.65</v>
      </c>
      <c r="M106" s="56">
        <v>263.39</v>
      </c>
      <c r="N106" s="28">
        <f t="shared" si="28"/>
        <v>23464656</v>
      </c>
      <c r="O106" s="29">
        <v>14674437.060000001</v>
      </c>
      <c r="P106" s="29">
        <f t="shared" si="29"/>
        <v>7032175.1519999998</v>
      </c>
      <c r="Q106" s="29">
        <f t="shared" si="30"/>
        <v>1758043.7879999997</v>
      </c>
      <c r="R106" s="59"/>
      <c r="S106" s="30"/>
      <c r="T106" s="67"/>
      <c r="U106" s="61"/>
    </row>
    <row r="107" spans="1:36" ht="28.5" customHeight="1">
      <c r="A107" s="12" t="s">
        <v>195</v>
      </c>
      <c r="B107" s="34" t="s">
        <v>196</v>
      </c>
      <c r="C107" s="35" t="s">
        <v>197</v>
      </c>
      <c r="D107" s="36">
        <v>41250</v>
      </c>
      <c r="E107" s="25" t="s">
        <v>84</v>
      </c>
      <c r="F107" s="45" t="s">
        <v>154</v>
      </c>
      <c r="G107" s="13">
        <v>14</v>
      </c>
      <c r="H107" s="13">
        <v>7</v>
      </c>
      <c r="I107" s="13">
        <v>6</v>
      </c>
      <c r="J107" s="13">
        <v>1</v>
      </c>
      <c r="K107" s="14">
        <v>217.04</v>
      </c>
      <c r="L107" s="14">
        <v>162.94</v>
      </c>
      <c r="M107" s="14">
        <v>54.1</v>
      </c>
      <c r="N107" s="28">
        <f t="shared" si="28"/>
        <v>12241055.999999998</v>
      </c>
      <c r="O107" s="29">
        <v>7655369.2400000002</v>
      </c>
      <c r="P107" s="29">
        <f t="shared" si="29"/>
        <v>3668549.4079999984</v>
      </c>
      <c r="Q107" s="29">
        <f t="shared" si="30"/>
        <v>917137.35199999949</v>
      </c>
      <c r="R107" s="59"/>
      <c r="S107" s="30"/>
      <c r="T107" s="67"/>
      <c r="U107" s="61"/>
    </row>
    <row r="108" spans="1:36" ht="28.5" customHeight="1">
      <c r="A108" s="12" t="s">
        <v>198</v>
      </c>
      <c r="B108" s="34" t="s">
        <v>199</v>
      </c>
      <c r="C108" s="35" t="s">
        <v>200</v>
      </c>
      <c r="D108" s="36">
        <v>41215</v>
      </c>
      <c r="E108" s="25" t="s">
        <v>84</v>
      </c>
      <c r="F108" s="45" t="s">
        <v>154</v>
      </c>
      <c r="G108" s="13">
        <v>21</v>
      </c>
      <c r="H108" s="13">
        <v>6</v>
      </c>
      <c r="I108" s="13">
        <v>2</v>
      </c>
      <c r="J108" s="13">
        <v>4</v>
      </c>
      <c r="K108" s="14">
        <v>278.89999999999998</v>
      </c>
      <c r="L108" s="14">
        <v>51.83</v>
      </c>
      <c r="M108" s="14">
        <v>227.07</v>
      </c>
      <c r="N108" s="28">
        <f t="shared" si="28"/>
        <v>15729959.999999998</v>
      </c>
      <c r="O108" s="29">
        <v>9837276.4499999993</v>
      </c>
      <c r="P108" s="29">
        <f t="shared" si="29"/>
        <v>4714146.8399999989</v>
      </c>
      <c r="Q108" s="29">
        <f t="shared" si="30"/>
        <v>1178536.71</v>
      </c>
      <c r="R108" s="59"/>
      <c r="S108" s="30"/>
      <c r="T108" s="67"/>
      <c r="U108" s="61"/>
    </row>
    <row r="109" spans="1:36" ht="26.25" customHeight="1">
      <c r="A109" s="40" t="s">
        <v>201</v>
      </c>
      <c r="B109" s="22" t="s">
        <v>202</v>
      </c>
      <c r="C109" s="43" t="s">
        <v>203</v>
      </c>
      <c r="D109" s="24">
        <v>41661</v>
      </c>
      <c r="E109" s="45" t="s">
        <v>204</v>
      </c>
      <c r="F109" s="45" t="s">
        <v>205</v>
      </c>
      <c r="G109" s="26">
        <v>16</v>
      </c>
      <c r="H109" s="26">
        <v>7</v>
      </c>
      <c r="I109" s="26">
        <v>5</v>
      </c>
      <c r="J109" s="26">
        <v>2</v>
      </c>
      <c r="K109" s="27">
        <v>265.02</v>
      </c>
      <c r="L109" s="27">
        <v>219.42</v>
      </c>
      <c r="M109" s="27">
        <v>45.6</v>
      </c>
      <c r="N109" s="28">
        <f>K109*1.2*47000</f>
        <v>14947127.999999998</v>
      </c>
      <c r="O109" s="29">
        <v>9347705.2899999991</v>
      </c>
      <c r="P109" s="29">
        <f t="shared" si="29"/>
        <v>4479538.1679999996</v>
      </c>
      <c r="Q109" s="29">
        <f t="shared" si="30"/>
        <v>1119884.5419999994</v>
      </c>
      <c r="R109" s="59"/>
    </row>
    <row r="110" spans="1:36" ht="26.25" customHeight="1">
      <c r="A110" s="40" t="s">
        <v>206</v>
      </c>
      <c r="B110" s="22" t="s">
        <v>207</v>
      </c>
      <c r="C110" s="43" t="s">
        <v>208</v>
      </c>
      <c r="D110" s="24">
        <v>41362</v>
      </c>
      <c r="E110" s="45" t="s">
        <v>204</v>
      </c>
      <c r="F110" s="45" t="s">
        <v>205</v>
      </c>
      <c r="G110" s="26">
        <v>6</v>
      </c>
      <c r="H110" s="26">
        <v>3</v>
      </c>
      <c r="I110" s="26">
        <v>1</v>
      </c>
      <c r="J110" s="26">
        <v>2</v>
      </c>
      <c r="K110" s="27">
        <v>76.510000000000005</v>
      </c>
      <c r="L110" s="27">
        <v>16.71</v>
      </c>
      <c r="M110" s="27">
        <v>59.800000000000004</v>
      </c>
      <c r="N110" s="28">
        <f>K110*1.2*47000</f>
        <v>4315164</v>
      </c>
      <c r="O110" s="29">
        <v>2698637.59</v>
      </c>
      <c r="P110" s="29">
        <f t="shared" si="29"/>
        <v>1293221.1280000003</v>
      </c>
      <c r="Q110" s="29">
        <f t="shared" si="30"/>
        <v>323305.28199999989</v>
      </c>
      <c r="R110" s="59"/>
    </row>
    <row r="111" spans="1:36" ht="28.5" hidden="1" customHeight="1">
      <c r="A111" s="591" t="s">
        <v>209</v>
      </c>
      <c r="B111" s="592"/>
      <c r="C111" s="21" t="s">
        <v>28</v>
      </c>
      <c r="D111" s="21" t="s">
        <v>28</v>
      </c>
      <c r="E111" s="21" t="s">
        <v>28</v>
      </c>
      <c r="F111" s="21" t="s">
        <v>28</v>
      </c>
      <c r="G111" s="57">
        <f t="shared" ref="G111:Q111" si="31">SUM(G112:G116)</f>
        <v>100</v>
      </c>
      <c r="H111" s="57">
        <f t="shared" si="31"/>
        <v>44</v>
      </c>
      <c r="I111" s="57">
        <f t="shared" si="31"/>
        <v>39</v>
      </c>
      <c r="J111" s="57">
        <f t="shared" si="31"/>
        <v>5</v>
      </c>
      <c r="K111" s="56">
        <f t="shared" si="31"/>
        <v>1897.4</v>
      </c>
      <c r="L111" s="56">
        <f t="shared" si="31"/>
        <v>1681</v>
      </c>
      <c r="M111" s="56">
        <f t="shared" si="31"/>
        <v>216.4</v>
      </c>
      <c r="N111" s="28">
        <f t="shared" si="31"/>
        <v>107013360</v>
      </c>
      <c r="O111" s="29">
        <f>K111*37618*0.937628198728716</f>
        <v>66924518.98786857</v>
      </c>
      <c r="P111" s="28">
        <f t="shared" si="31"/>
        <v>32071072.812852181</v>
      </c>
      <c r="Q111" s="28">
        <f t="shared" si="31"/>
        <v>8017768.2024262827</v>
      </c>
      <c r="R111" s="59"/>
      <c r="S111" s="30"/>
    </row>
    <row r="112" spans="1:36" ht="28.5" hidden="1" customHeight="1">
      <c r="A112" s="12" t="s">
        <v>210</v>
      </c>
      <c r="B112" s="34" t="s">
        <v>211</v>
      </c>
      <c r="C112" s="35" t="s">
        <v>107</v>
      </c>
      <c r="D112" s="36">
        <v>42635</v>
      </c>
      <c r="E112" s="25" t="s">
        <v>84</v>
      </c>
      <c r="F112" s="45" t="s">
        <v>154</v>
      </c>
      <c r="G112" s="13">
        <v>29</v>
      </c>
      <c r="H112" s="13">
        <v>12</v>
      </c>
      <c r="I112" s="13">
        <v>11</v>
      </c>
      <c r="J112" s="13">
        <v>1</v>
      </c>
      <c r="K112" s="14">
        <v>393.8</v>
      </c>
      <c r="L112" s="14">
        <v>369.3</v>
      </c>
      <c r="M112" s="14">
        <v>24.5</v>
      </c>
      <c r="N112" s="28">
        <f t="shared" si="28"/>
        <v>22210320</v>
      </c>
      <c r="O112" s="29">
        <v>13889994.506916119</v>
      </c>
      <c r="P112" s="29">
        <v>6656260.3899999997</v>
      </c>
      <c r="Q112" s="29">
        <v>1664065.0986167761</v>
      </c>
      <c r="R112" s="59"/>
      <c r="S112" s="30"/>
      <c r="T112" s="67"/>
      <c r="U112" s="61"/>
    </row>
    <row r="113" spans="1:21" ht="28.5" hidden="1" customHeight="1">
      <c r="A113" s="12" t="s">
        <v>212</v>
      </c>
      <c r="B113" s="34" t="s">
        <v>213</v>
      </c>
      <c r="C113" s="35" t="s">
        <v>107</v>
      </c>
      <c r="D113" s="36">
        <v>42635</v>
      </c>
      <c r="E113" s="25" t="s">
        <v>84</v>
      </c>
      <c r="F113" s="45" t="s">
        <v>154</v>
      </c>
      <c r="G113" s="13">
        <v>16</v>
      </c>
      <c r="H113" s="13">
        <v>8</v>
      </c>
      <c r="I113" s="13">
        <v>6</v>
      </c>
      <c r="J113" s="13">
        <v>2</v>
      </c>
      <c r="K113" s="14">
        <v>361.8</v>
      </c>
      <c r="L113" s="14">
        <v>268.3</v>
      </c>
      <c r="M113" s="14">
        <v>93.5</v>
      </c>
      <c r="N113" s="28">
        <f t="shared" si="28"/>
        <v>20405520</v>
      </c>
      <c r="O113" s="29">
        <v>12761300.184363259</v>
      </c>
      <c r="P113" s="29">
        <v>6115375.8600000003</v>
      </c>
      <c r="Q113" s="29">
        <v>1528843.9631273476</v>
      </c>
      <c r="R113" s="59"/>
      <c r="S113" s="30"/>
      <c r="T113" s="67"/>
      <c r="U113" s="61"/>
    </row>
    <row r="114" spans="1:21" ht="28.5" hidden="1" customHeight="1">
      <c r="A114" s="21" t="s">
        <v>214</v>
      </c>
      <c r="B114" s="34" t="s">
        <v>215</v>
      </c>
      <c r="C114" s="12" t="s">
        <v>107</v>
      </c>
      <c r="D114" s="36">
        <v>42635</v>
      </c>
      <c r="E114" s="25" t="s">
        <v>84</v>
      </c>
      <c r="F114" s="45" t="s">
        <v>154</v>
      </c>
      <c r="G114" s="57">
        <v>15</v>
      </c>
      <c r="H114" s="13">
        <v>8</v>
      </c>
      <c r="I114" s="13">
        <v>8</v>
      </c>
      <c r="J114" s="13">
        <v>0</v>
      </c>
      <c r="K114" s="56">
        <v>361.6</v>
      </c>
      <c r="L114" s="56">
        <v>361.6</v>
      </c>
      <c r="M114" s="56">
        <v>0</v>
      </c>
      <c r="N114" s="28">
        <f t="shared" si="28"/>
        <v>20394240</v>
      </c>
      <c r="O114" s="29">
        <v>12754245.844847305</v>
      </c>
      <c r="P114" s="29">
        <v>6111995.3300000001</v>
      </c>
      <c r="Q114" s="29">
        <v>1527998.8310305383</v>
      </c>
      <c r="R114" s="59"/>
      <c r="S114" s="11"/>
      <c r="T114" s="67"/>
      <c r="U114" s="61"/>
    </row>
    <row r="115" spans="1:21" ht="28.5" hidden="1" customHeight="1">
      <c r="A115" s="21" t="s">
        <v>216</v>
      </c>
      <c r="B115" s="34" t="s">
        <v>217</v>
      </c>
      <c r="C115" s="12" t="s">
        <v>107</v>
      </c>
      <c r="D115" s="36">
        <v>42635</v>
      </c>
      <c r="E115" s="25" t="s">
        <v>84</v>
      </c>
      <c r="F115" s="45" t="s">
        <v>154</v>
      </c>
      <c r="G115" s="57">
        <v>17</v>
      </c>
      <c r="H115" s="13">
        <v>8</v>
      </c>
      <c r="I115" s="13">
        <v>8</v>
      </c>
      <c r="J115" s="13">
        <v>0</v>
      </c>
      <c r="K115" s="56">
        <v>389.3</v>
      </c>
      <c r="L115" s="56">
        <v>389.3</v>
      </c>
      <c r="M115" s="56">
        <v>0</v>
      </c>
      <c r="N115" s="28">
        <f t="shared" si="28"/>
        <v>21956520</v>
      </c>
      <c r="O115" s="29">
        <v>13731271.867807122</v>
      </c>
      <c r="P115" s="29">
        <v>6580198.5</v>
      </c>
      <c r="Q115" s="29">
        <v>1645049.6264385749</v>
      </c>
      <c r="R115" s="59"/>
      <c r="S115" s="11"/>
      <c r="T115" s="67"/>
      <c r="U115" s="61"/>
    </row>
    <row r="116" spans="1:21" ht="28.5" hidden="1" customHeight="1">
      <c r="A116" s="12" t="s">
        <v>218</v>
      </c>
      <c r="B116" s="34" t="s">
        <v>219</v>
      </c>
      <c r="C116" s="35" t="s">
        <v>107</v>
      </c>
      <c r="D116" s="36">
        <v>42635</v>
      </c>
      <c r="E116" s="25" t="s">
        <v>84</v>
      </c>
      <c r="F116" s="45" t="s">
        <v>154</v>
      </c>
      <c r="G116" s="13">
        <v>23</v>
      </c>
      <c r="H116" s="13">
        <v>8</v>
      </c>
      <c r="I116" s="13">
        <v>6</v>
      </c>
      <c r="J116" s="13">
        <v>2</v>
      </c>
      <c r="K116" s="14">
        <v>390.9</v>
      </c>
      <c r="L116" s="14">
        <v>292.5</v>
      </c>
      <c r="M116" s="14">
        <v>98.4</v>
      </c>
      <c r="N116" s="28">
        <f t="shared" si="28"/>
        <v>22046759.999999996</v>
      </c>
      <c r="O116" s="29">
        <v>13787706.59</v>
      </c>
      <c r="P116" s="29">
        <v>6607242.7328521851</v>
      </c>
      <c r="Q116" s="29">
        <v>1651810.6832130458</v>
      </c>
      <c r="R116" s="59"/>
      <c r="S116" s="11"/>
      <c r="T116" s="67"/>
      <c r="U116" s="61"/>
    </row>
    <row r="117" spans="1:21" ht="28.5" hidden="1" customHeight="1">
      <c r="A117" s="590" t="s">
        <v>220</v>
      </c>
      <c r="B117" s="590"/>
      <c r="C117" s="21" t="s">
        <v>28</v>
      </c>
      <c r="D117" s="21" t="s">
        <v>28</v>
      </c>
      <c r="E117" s="21" t="s">
        <v>28</v>
      </c>
      <c r="F117" s="12" t="s">
        <v>28</v>
      </c>
      <c r="G117" s="26">
        <f>SUM(G118:G120)</f>
        <v>89</v>
      </c>
      <c r="H117" s="26">
        <f t="shared" ref="H117:Q117" si="32">SUM(H118:H120)</f>
        <v>42</v>
      </c>
      <c r="I117" s="26">
        <f t="shared" si="32"/>
        <v>35</v>
      </c>
      <c r="J117" s="26">
        <f t="shared" si="32"/>
        <v>7</v>
      </c>
      <c r="K117" s="27">
        <f t="shared" si="32"/>
        <v>1344.77</v>
      </c>
      <c r="L117" s="27">
        <f t="shared" si="32"/>
        <v>1178.8600000000001</v>
      </c>
      <c r="M117" s="27">
        <f t="shared" si="32"/>
        <v>165.91</v>
      </c>
      <c r="N117" s="28">
        <f t="shared" si="32"/>
        <v>75845028</v>
      </c>
      <c r="O117" s="29">
        <f>K117*37618*0.937628198728716</f>
        <v>47432320.754356496</v>
      </c>
      <c r="P117" s="29">
        <f t="shared" si="32"/>
        <v>14206353.632814961</v>
      </c>
      <c r="Q117" s="29">
        <f t="shared" si="32"/>
        <v>14206353.620000001</v>
      </c>
      <c r="R117" s="16"/>
    </row>
    <row r="118" spans="1:21" ht="28.5" hidden="1" customHeight="1">
      <c r="A118" s="40" t="s">
        <v>221</v>
      </c>
      <c r="B118" s="22" t="s">
        <v>146</v>
      </c>
      <c r="C118" s="23">
        <v>30</v>
      </c>
      <c r="D118" s="24">
        <v>41593</v>
      </c>
      <c r="E118" s="25" t="s">
        <v>84</v>
      </c>
      <c r="F118" s="45" t="s">
        <v>154</v>
      </c>
      <c r="G118" s="26">
        <v>16</v>
      </c>
      <c r="H118" s="26">
        <v>5</v>
      </c>
      <c r="I118" s="26">
        <v>4</v>
      </c>
      <c r="J118" s="26">
        <v>1</v>
      </c>
      <c r="K118" s="27">
        <v>154.94999999999999</v>
      </c>
      <c r="L118" s="27">
        <v>124.95</v>
      </c>
      <c r="M118" s="27">
        <v>30</v>
      </c>
      <c r="N118" s="28">
        <f t="shared" si="28"/>
        <v>8739179.9999999981</v>
      </c>
      <c r="O118" s="29">
        <v>5465349.5300000003</v>
      </c>
      <c r="P118" s="29">
        <v>1636915.24</v>
      </c>
      <c r="Q118" s="29">
        <v>1636915.23</v>
      </c>
      <c r="R118" s="16"/>
    </row>
    <row r="119" spans="1:21" ht="28.5" hidden="1" customHeight="1">
      <c r="A119" s="40" t="s">
        <v>222</v>
      </c>
      <c r="B119" s="22" t="s">
        <v>223</v>
      </c>
      <c r="C119" s="23">
        <v>48</v>
      </c>
      <c r="D119" s="24">
        <v>41970</v>
      </c>
      <c r="E119" s="45" t="s">
        <v>154</v>
      </c>
      <c r="F119" s="45" t="s">
        <v>204</v>
      </c>
      <c r="G119" s="26">
        <v>44</v>
      </c>
      <c r="H119" s="26">
        <v>25</v>
      </c>
      <c r="I119" s="26">
        <v>19</v>
      </c>
      <c r="J119" s="26">
        <v>6</v>
      </c>
      <c r="K119" s="27">
        <v>802</v>
      </c>
      <c r="L119" s="27">
        <v>666.09</v>
      </c>
      <c r="M119" s="27">
        <v>135.91</v>
      </c>
      <c r="N119" s="28">
        <f t="shared" si="28"/>
        <v>45232800</v>
      </c>
      <c r="O119" s="29">
        <v>28287901.460000001</v>
      </c>
      <c r="P119" s="29">
        <v>8472449.2705094889</v>
      </c>
      <c r="Q119" s="28">
        <v>8472449.2699999996</v>
      </c>
      <c r="R119" s="16"/>
    </row>
    <row r="120" spans="1:21" ht="28.5" hidden="1" customHeight="1">
      <c r="A120" s="40" t="s">
        <v>224</v>
      </c>
      <c r="B120" s="22" t="s">
        <v>225</v>
      </c>
      <c r="C120" s="35">
        <v>3330</v>
      </c>
      <c r="D120" s="36">
        <v>42720</v>
      </c>
      <c r="E120" s="45" t="s">
        <v>204</v>
      </c>
      <c r="F120" s="45" t="s">
        <v>205</v>
      </c>
      <c r="G120" s="26">
        <v>29</v>
      </c>
      <c r="H120" s="26">
        <v>12</v>
      </c>
      <c r="I120" s="26">
        <v>12</v>
      </c>
      <c r="J120" s="26">
        <v>0</v>
      </c>
      <c r="K120" s="27">
        <v>387.82</v>
      </c>
      <c r="L120" s="27">
        <v>387.82</v>
      </c>
      <c r="M120" s="27">
        <v>0</v>
      </c>
      <c r="N120" s="28">
        <f t="shared" si="28"/>
        <v>21873047.999999996</v>
      </c>
      <c r="O120" s="29">
        <v>13679069.76</v>
      </c>
      <c r="P120" s="29">
        <v>4096989.1223054715</v>
      </c>
      <c r="Q120" s="28">
        <v>4096989.12</v>
      </c>
      <c r="R120" s="59"/>
    </row>
    <row r="121" spans="1:21" s="62" customFormat="1" ht="28.5" customHeight="1">
      <c r="A121" s="593" t="s">
        <v>226</v>
      </c>
      <c r="B121" s="594"/>
      <c r="C121" s="21" t="s">
        <v>28</v>
      </c>
      <c r="D121" s="21" t="s">
        <v>28</v>
      </c>
      <c r="E121" s="12" t="s">
        <v>28</v>
      </c>
      <c r="F121" s="12" t="s">
        <v>28</v>
      </c>
      <c r="G121" s="26"/>
      <c r="H121" s="26"/>
      <c r="I121" s="26"/>
      <c r="J121" s="26"/>
      <c r="K121" s="27"/>
      <c r="L121" s="27"/>
      <c r="M121" s="27"/>
      <c r="N121" s="28"/>
      <c r="O121" s="28"/>
      <c r="P121" s="28"/>
      <c r="Q121" s="28"/>
      <c r="R121" s="16"/>
      <c r="S121" s="68"/>
      <c r="T121" s="3"/>
      <c r="U121" s="1"/>
    </row>
    <row r="122" spans="1:21" ht="28.5" hidden="1" customHeight="1">
      <c r="A122" s="590" t="s">
        <v>87</v>
      </c>
      <c r="B122" s="590"/>
      <c r="C122" s="21" t="s">
        <v>28</v>
      </c>
      <c r="D122" s="21" t="s">
        <v>28</v>
      </c>
      <c r="E122" s="21" t="s">
        <v>28</v>
      </c>
      <c r="F122" s="12" t="s">
        <v>28</v>
      </c>
      <c r="G122" s="26">
        <f t="shared" ref="G122:Q122" si="33">SUM(G123:G130)</f>
        <v>52</v>
      </c>
      <c r="H122" s="26">
        <f t="shared" si="33"/>
        <v>23</v>
      </c>
      <c r="I122" s="26">
        <f t="shared" si="33"/>
        <v>10</v>
      </c>
      <c r="J122" s="26">
        <f t="shared" si="33"/>
        <v>13</v>
      </c>
      <c r="K122" s="27">
        <f t="shared" si="33"/>
        <v>979</v>
      </c>
      <c r="L122" s="27">
        <f t="shared" si="33"/>
        <v>442.4</v>
      </c>
      <c r="M122" s="27">
        <f t="shared" si="33"/>
        <v>536.6</v>
      </c>
      <c r="N122" s="28">
        <f t="shared" si="33"/>
        <v>46992000</v>
      </c>
      <c r="O122" s="28">
        <f t="shared" si="33"/>
        <v>30440310.762166306</v>
      </c>
      <c r="P122" s="28">
        <f t="shared" si="33"/>
        <v>15724104.78201944</v>
      </c>
      <c r="Q122" s="28">
        <f t="shared" si="33"/>
        <v>827584.45889168442</v>
      </c>
      <c r="R122" s="16"/>
    </row>
    <row r="123" spans="1:21" ht="28.5" hidden="1" customHeight="1">
      <c r="A123" s="40" t="s">
        <v>227</v>
      </c>
      <c r="B123" s="22" t="s">
        <v>228</v>
      </c>
      <c r="C123" s="23" t="s">
        <v>229</v>
      </c>
      <c r="D123" s="24">
        <v>41085</v>
      </c>
      <c r="E123" s="45" t="s">
        <v>154</v>
      </c>
      <c r="F123" s="45" t="s">
        <v>204</v>
      </c>
      <c r="G123" s="26">
        <v>2</v>
      </c>
      <c r="H123" s="26">
        <v>2</v>
      </c>
      <c r="I123" s="26">
        <v>0</v>
      </c>
      <c r="J123" s="26">
        <v>2</v>
      </c>
      <c r="K123" s="27">
        <v>94.2</v>
      </c>
      <c r="L123" s="27">
        <v>0</v>
      </c>
      <c r="M123" s="27">
        <v>94.2</v>
      </c>
      <c r="N123" s="28">
        <f t="shared" ref="N123:N130" si="34">K123*1.2*40000</f>
        <v>4521600</v>
      </c>
      <c r="O123" s="28">
        <v>2928985.98</v>
      </c>
      <c r="P123" s="29">
        <v>1512983.3196700239</v>
      </c>
      <c r="Q123" s="29">
        <v>79630.7</v>
      </c>
      <c r="R123" s="16"/>
    </row>
    <row r="124" spans="1:21" ht="28.5" hidden="1" customHeight="1">
      <c r="A124" s="40" t="s">
        <v>230</v>
      </c>
      <c r="B124" s="22" t="s">
        <v>231</v>
      </c>
      <c r="C124" s="23" t="s">
        <v>232</v>
      </c>
      <c r="D124" s="24">
        <v>41085</v>
      </c>
      <c r="E124" s="45" t="s">
        <v>154</v>
      </c>
      <c r="F124" s="45" t="s">
        <v>204</v>
      </c>
      <c r="G124" s="26">
        <v>2</v>
      </c>
      <c r="H124" s="26">
        <v>1</v>
      </c>
      <c r="I124" s="26">
        <v>0</v>
      </c>
      <c r="J124" s="26">
        <v>1</v>
      </c>
      <c r="K124" s="27">
        <v>46.3</v>
      </c>
      <c r="L124" s="27">
        <v>0</v>
      </c>
      <c r="M124" s="27">
        <v>46.3</v>
      </c>
      <c r="N124" s="28">
        <f t="shared" si="34"/>
        <v>2222400</v>
      </c>
      <c r="O124" s="28">
        <v>1439618.38</v>
      </c>
      <c r="P124" s="29">
        <v>743642.55</v>
      </c>
      <c r="Q124" s="29">
        <v>39139.07</v>
      </c>
      <c r="R124" s="16"/>
    </row>
    <row r="125" spans="1:21" ht="28.5" hidden="1" customHeight="1">
      <c r="A125" s="40" t="s">
        <v>233</v>
      </c>
      <c r="B125" s="22" t="s">
        <v>234</v>
      </c>
      <c r="C125" s="23" t="s">
        <v>235</v>
      </c>
      <c r="D125" s="24">
        <v>41085</v>
      </c>
      <c r="E125" s="45" t="s">
        <v>154</v>
      </c>
      <c r="F125" s="45" t="s">
        <v>204</v>
      </c>
      <c r="G125" s="26">
        <v>14</v>
      </c>
      <c r="H125" s="26">
        <v>4</v>
      </c>
      <c r="I125" s="26">
        <v>3</v>
      </c>
      <c r="J125" s="26">
        <v>1</v>
      </c>
      <c r="K125" s="27">
        <v>142.5</v>
      </c>
      <c r="L125" s="27">
        <v>107.1</v>
      </c>
      <c r="M125" s="27">
        <v>35.4</v>
      </c>
      <c r="N125" s="28">
        <f t="shared" si="34"/>
        <v>6840000</v>
      </c>
      <c r="O125" s="28">
        <v>4430790.8899999997</v>
      </c>
      <c r="P125" s="29">
        <v>2288748.6523670745</v>
      </c>
      <c r="Q125" s="29">
        <v>120460.46</v>
      </c>
      <c r="R125" s="16"/>
    </row>
    <row r="126" spans="1:21" ht="28.5" hidden="1" customHeight="1">
      <c r="A126" s="40" t="s">
        <v>236</v>
      </c>
      <c r="B126" s="22" t="s">
        <v>237</v>
      </c>
      <c r="C126" s="23" t="s">
        <v>238</v>
      </c>
      <c r="D126" s="24">
        <v>41085</v>
      </c>
      <c r="E126" s="45" t="s">
        <v>154</v>
      </c>
      <c r="F126" s="45" t="s">
        <v>204</v>
      </c>
      <c r="G126" s="26">
        <v>4</v>
      </c>
      <c r="H126" s="26">
        <v>2</v>
      </c>
      <c r="I126" s="26">
        <v>1</v>
      </c>
      <c r="J126" s="26">
        <v>1</v>
      </c>
      <c r="K126" s="27">
        <v>109.1</v>
      </c>
      <c r="L126" s="27">
        <v>60.8</v>
      </c>
      <c r="M126" s="27">
        <v>48.3</v>
      </c>
      <c r="N126" s="28">
        <f t="shared" si="34"/>
        <v>5236799.9999999991</v>
      </c>
      <c r="O126" s="28">
        <v>3392275.69</v>
      </c>
      <c r="P126" s="29">
        <v>1752298.0910403347</v>
      </c>
      <c r="Q126" s="29">
        <v>92226.22</v>
      </c>
      <c r="R126" s="16"/>
    </row>
    <row r="127" spans="1:21" ht="28.5" hidden="1" customHeight="1">
      <c r="A127" s="21" t="s">
        <v>239</v>
      </c>
      <c r="B127" s="22" t="s">
        <v>240</v>
      </c>
      <c r="C127" s="23" t="s">
        <v>241</v>
      </c>
      <c r="D127" s="24">
        <v>41085</v>
      </c>
      <c r="E127" s="45" t="s">
        <v>154</v>
      </c>
      <c r="F127" s="45" t="s">
        <v>204</v>
      </c>
      <c r="G127" s="26">
        <v>5</v>
      </c>
      <c r="H127" s="26">
        <v>4</v>
      </c>
      <c r="I127" s="26">
        <v>0</v>
      </c>
      <c r="J127" s="26">
        <v>4</v>
      </c>
      <c r="K127" s="27">
        <v>142.9</v>
      </c>
      <c r="L127" s="27">
        <v>0</v>
      </c>
      <c r="M127" s="27">
        <v>142.9</v>
      </c>
      <c r="N127" s="28">
        <f t="shared" si="34"/>
        <v>6859200</v>
      </c>
      <c r="O127" s="28">
        <v>4443228.2000128906</v>
      </c>
      <c r="P127" s="29">
        <v>2295173.209987754</v>
      </c>
      <c r="Q127" s="29">
        <v>120798.58999935538</v>
      </c>
      <c r="R127" s="16"/>
    </row>
    <row r="128" spans="1:21" ht="28.5" hidden="1" customHeight="1">
      <c r="A128" s="21" t="s">
        <v>242</v>
      </c>
      <c r="B128" s="22" t="s">
        <v>243</v>
      </c>
      <c r="C128" s="43" t="s">
        <v>244</v>
      </c>
      <c r="D128" s="24">
        <v>41085</v>
      </c>
      <c r="E128" s="45" t="s">
        <v>154</v>
      </c>
      <c r="F128" s="45" t="s">
        <v>204</v>
      </c>
      <c r="G128" s="26">
        <v>5</v>
      </c>
      <c r="H128" s="26">
        <v>2</v>
      </c>
      <c r="I128" s="26">
        <v>1</v>
      </c>
      <c r="J128" s="26">
        <v>1</v>
      </c>
      <c r="K128" s="27">
        <v>100.9</v>
      </c>
      <c r="L128" s="27">
        <v>71.900000000000006</v>
      </c>
      <c r="M128" s="27">
        <v>29</v>
      </c>
      <c r="N128" s="28">
        <f t="shared" si="34"/>
        <v>4843200</v>
      </c>
      <c r="O128" s="28">
        <v>3137310.8844037838</v>
      </c>
      <c r="P128" s="29">
        <v>1620594.6598164053</v>
      </c>
      <c r="Q128" s="29">
        <v>85294.455779810902</v>
      </c>
      <c r="R128" s="16"/>
    </row>
    <row r="129" spans="1:36" ht="28.5" hidden="1" customHeight="1">
      <c r="A129" s="40" t="s">
        <v>245</v>
      </c>
      <c r="B129" s="22" t="s">
        <v>246</v>
      </c>
      <c r="C129" s="43" t="s">
        <v>247</v>
      </c>
      <c r="D129" s="24">
        <v>41085</v>
      </c>
      <c r="E129" s="45" t="s">
        <v>154</v>
      </c>
      <c r="F129" s="45" t="s">
        <v>204</v>
      </c>
      <c r="G129" s="26">
        <v>9</v>
      </c>
      <c r="H129" s="26">
        <v>4</v>
      </c>
      <c r="I129" s="26">
        <v>2</v>
      </c>
      <c r="J129" s="26">
        <v>2</v>
      </c>
      <c r="K129" s="27">
        <v>165.4</v>
      </c>
      <c r="L129" s="27">
        <v>77.8</v>
      </c>
      <c r="M129" s="27">
        <v>87.6</v>
      </c>
      <c r="N129" s="28">
        <f t="shared" si="34"/>
        <v>7939200</v>
      </c>
      <c r="O129" s="28">
        <v>5142826.761946341</v>
      </c>
      <c r="P129" s="29">
        <v>2656554.5761509761</v>
      </c>
      <c r="Q129" s="29">
        <v>139818.66190268286</v>
      </c>
      <c r="R129" s="16"/>
    </row>
    <row r="130" spans="1:36" ht="28.5" hidden="1" customHeight="1">
      <c r="A130" s="40" t="s">
        <v>248</v>
      </c>
      <c r="B130" s="22" t="s">
        <v>249</v>
      </c>
      <c r="C130" s="43" t="s">
        <v>250</v>
      </c>
      <c r="D130" s="24">
        <v>41085</v>
      </c>
      <c r="E130" s="45" t="s">
        <v>154</v>
      </c>
      <c r="F130" s="45" t="s">
        <v>204</v>
      </c>
      <c r="G130" s="26">
        <v>11</v>
      </c>
      <c r="H130" s="26">
        <v>4</v>
      </c>
      <c r="I130" s="26">
        <v>3</v>
      </c>
      <c r="J130" s="26">
        <v>1</v>
      </c>
      <c r="K130" s="27">
        <v>177.7</v>
      </c>
      <c r="L130" s="27">
        <v>124.79999999999998</v>
      </c>
      <c r="M130" s="27">
        <v>52.9</v>
      </c>
      <c r="N130" s="28">
        <f t="shared" si="34"/>
        <v>8529600</v>
      </c>
      <c r="O130" s="28">
        <v>5525273.9758032933</v>
      </c>
      <c r="P130" s="29">
        <v>2854109.7229868714</v>
      </c>
      <c r="Q130" s="29">
        <v>150216.30120983534</v>
      </c>
      <c r="R130" s="16"/>
    </row>
    <row r="131" spans="1:36" ht="28.5" hidden="1" customHeight="1">
      <c r="A131" s="590" t="s">
        <v>54</v>
      </c>
      <c r="B131" s="590"/>
      <c r="C131" s="21" t="s">
        <v>28</v>
      </c>
      <c r="D131" s="21" t="s">
        <v>28</v>
      </c>
      <c r="E131" s="21" t="s">
        <v>28</v>
      </c>
      <c r="F131" s="12" t="s">
        <v>28</v>
      </c>
      <c r="G131" s="26">
        <f t="shared" ref="G131:M131" si="35">SUM(G132:G135)</f>
        <v>79</v>
      </c>
      <c r="H131" s="26">
        <f t="shared" si="35"/>
        <v>37</v>
      </c>
      <c r="I131" s="26">
        <f t="shared" si="35"/>
        <v>17</v>
      </c>
      <c r="J131" s="26">
        <f t="shared" si="35"/>
        <v>20</v>
      </c>
      <c r="K131" s="27">
        <f t="shared" si="35"/>
        <v>1189.49</v>
      </c>
      <c r="L131" s="27">
        <f t="shared" si="35"/>
        <v>592.30999999999995</v>
      </c>
      <c r="M131" s="27">
        <f t="shared" si="35"/>
        <v>597.18000000000006</v>
      </c>
      <c r="N131" s="28">
        <v>57095520</v>
      </c>
      <c r="O131" s="28">
        <v>36985133.041520879</v>
      </c>
      <c r="P131" s="28">
        <v>19104867.610555165</v>
      </c>
      <c r="Q131" s="28">
        <v>1005519.347923957</v>
      </c>
      <c r="R131" s="16"/>
    </row>
    <row r="132" spans="1:36" ht="28.5" hidden="1" customHeight="1">
      <c r="A132" s="40" t="s">
        <v>251</v>
      </c>
      <c r="B132" s="22" t="s">
        <v>252</v>
      </c>
      <c r="C132" s="21">
        <v>63</v>
      </c>
      <c r="D132" s="24">
        <v>41027</v>
      </c>
      <c r="E132" s="45" t="s">
        <v>154</v>
      </c>
      <c r="F132" s="45" t="s">
        <v>204</v>
      </c>
      <c r="G132" s="26">
        <v>11</v>
      </c>
      <c r="H132" s="26">
        <v>6</v>
      </c>
      <c r="I132" s="26">
        <v>5</v>
      </c>
      <c r="J132" s="26">
        <v>1</v>
      </c>
      <c r="K132" s="27">
        <v>238.27</v>
      </c>
      <c r="L132" s="27">
        <v>203.32</v>
      </c>
      <c r="M132" s="27">
        <v>34.950000000000003</v>
      </c>
      <c r="N132" s="28">
        <v>11436960</v>
      </c>
      <c r="O132" s="28">
        <v>7408593.2999999998</v>
      </c>
      <c r="P132" s="29">
        <v>3826948.36</v>
      </c>
      <c r="Q132" s="29">
        <v>201418.34</v>
      </c>
      <c r="R132" s="16"/>
    </row>
    <row r="133" spans="1:36" ht="28.5" hidden="1" customHeight="1">
      <c r="A133" s="21" t="s">
        <v>253</v>
      </c>
      <c r="B133" s="22" t="s">
        <v>254</v>
      </c>
      <c r="C133" s="43" t="s">
        <v>255</v>
      </c>
      <c r="D133" s="24">
        <v>41027</v>
      </c>
      <c r="E133" s="45" t="s">
        <v>154</v>
      </c>
      <c r="F133" s="45" t="s">
        <v>204</v>
      </c>
      <c r="G133" s="26">
        <v>4</v>
      </c>
      <c r="H133" s="26">
        <v>2</v>
      </c>
      <c r="I133" s="26">
        <v>1</v>
      </c>
      <c r="J133" s="26">
        <v>1</v>
      </c>
      <c r="K133" s="27">
        <v>91</v>
      </c>
      <c r="L133" s="27">
        <v>45.5</v>
      </c>
      <c r="M133" s="27">
        <v>45.5</v>
      </c>
      <c r="N133" s="28">
        <v>4368000</v>
      </c>
      <c r="O133" s="28">
        <v>2829487.52</v>
      </c>
      <c r="P133" s="29">
        <v>1461586.86</v>
      </c>
      <c r="Q133" s="29">
        <v>76925.62</v>
      </c>
      <c r="R133" s="16"/>
    </row>
    <row r="134" spans="1:36" ht="28.5" hidden="1" customHeight="1">
      <c r="A134" s="40" t="s">
        <v>256</v>
      </c>
      <c r="B134" s="22" t="s">
        <v>257</v>
      </c>
      <c r="C134" s="21">
        <v>65</v>
      </c>
      <c r="D134" s="24">
        <v>41027</v>
      </c>
      <c r="E134" s="45" t="s">
        <v>154</v>
      </c>
      <c r="F134" s="45" t="s">
        <v>204</v>
      </c>
      <c r="G134" s="26">
        <v>16</v>
      </c>
      <c r="H134" s="26">
        <v>11</v>
      </c>
      <c r="I134" s="26">
        <v>11</v>
      </c>
      <c r="J134" s="26">
        <v>0</v>
      </c>
      <c r="K134" s="27">
        <v>343.49</v>
      </c>
      <c r="L134" s="27">
        <v>343.49</v>
      </c>
      <c r="M134" s="27">
        <v>0</v>
      </c>
      <c r="N134" s="28">
        <v>16487520</v>
      </c>
      <c r="O134" s="28">
        <v>10680227.109999999</v>
      </c>
      <c r="P134" s="29">
        <v>5516928.2400000002</v>
      </c>
      <c r="Q134" s="29">
        <v>290364.65000000002</v>
      </c>
      <c r="R134" s="16"/>
    </row>
    <row r="135" spans="1:36" ht="28.5" hidden="1" customHeight="1">
      <c r="A135" s="40" t="s">
        <v>258</v>
      </c>
      <c r="B135" s="22" t="s">
        <v>259</v>
      </c>
      <c r="C135" s="23">
        <v>72</v>
      </c>
      <c r="D135" s="24">
        <v>41027</v>
      </c>
      <c r="E135" s="45" t="s">
        <v>154</v>
      </c>
      <c r="F135" s="45" t="s">
        <v>204</v>
      </c>
      <c r="G135" s="26">
        <v>48</v>
      </c>
      <c r="H135" s="26">
        <v>18</v>
      </c>
      <c r="I135" s="26">
        <v>0</v>
      </c>
      <c r="J135" s="26">
        <v>18</v>
      </c>
      <c r="K135" s="27">
        <v>516.73</v>
      </c>
      <c r="L135" s="27">
        <v>0</v>
      </c>
      <c r="M135" s="27">
        <v>516.73</v>
      </c>
      <c r="N135" s="28">
        <v>24803040</v>
      </c>
      <c r="O135" s="28">
        <v>16066825.109999999</v>
      </c>
      <c r="P135" s="29">
        <v>8299404.1500000004</v>
      </c>
      <c r="Q135" s="29">
        <v>436810.74</v>
      </c>
      <c r="R135" s="16"/>
    </row>
    <row r="136" spans="1:36" ht="28.5" customHeight="1">
      <c r="A136" s="594" t="s">
        <v>260</v>
      </c>
      <c r="B136" s="594"/>
      <c r="C136" s="50" t="s">
        <v>28</v>
      </c>
      <c r="D136" s="50" t="s">
        <v>28</v>
      </c>
      <c r="E136" s="50" t="s">
        <v>28</v>
      </c>
      <c r="F136" s="69" t="s">
        <v>28</v>
      </c>
      <c r="G136" s="51">
        <f t="shared" ref="G136:N136" si="36">SUM(G137:G146)</f>
        <v>244</v>
      </c>
      <c r="H136" s="51">
        <f t="shared" si="36"/>
        <v>85</v>
      </c>
      <c r="I136" s="51">
        <f t="shared" si="36"/>
        <v>49</v>
      </c>
      <c r="J136" s="51">
        <f t="shared" si="36"/>
        <v>36</v>
      </c>
      <c r="K136" s="52">
        <f t="shared" si="36"/>
        <v>2608.94</v>
      </c>
      <c r="L136" s="52">
        <f t="shared" si="36"/>
        <v>1501.08</v>
      </c>
      <c r="M136" s="52">
        <f t="shared" si="36"/>
        <v>1107.8599999999999</v>
      </c>
      <c r="N136" s="53">
        <f t="shared" si="36"/>
        <v>147144216</v>
      </c>
      <c r="O136" s="53">
        <v>99123883.730000004</v>
      </c>
      <c r="P136" s="53">
        <v>38416265.82</v>
      </c>
      <c r="Q136" s="53">
        <v>9604066.4499999993</v>
      </c>
      <c r="R136" s="70"/>
    </row>
    <row r="137" spans="1:36" ht="28.5" customHeight="1">
      <c r="A137" s="40" t="s">
        <v>261</v>
      </c>
      <c r="B137" s="22" t="s">
        <v>262</v>
      </c>
      <c r="C137" s="43" t="s">
        <v>263</v>
      </c>
      <c r="D137" s="24">
        <v>41479</v>
      </c>
      <c r="E137" s="45" t="s">
        <v>154</v>
      </c>
      <c r="F137" s="45" t="s">
        <v>204</v>
      </c>
      <c r="G137" s="26">
        <v>20</v>
      </c>
      <c r="H137" s="26">
        <v>9</v>
      </c>
      <c r="I137" s="26">
        <v>6</v>
      </c>
      <c r="J137" s="26">
        <v>3</v>
      </c>
      <c r="K137" s="27">
        <v>269.99</v>
      </c>
      <c r="L137" s="27">
        <v>177.75</v>
      </c>
      <c r="M137" s="27">
        <v>92.24</v>
      </c>
      <c r="N137" s="28">
        <f>SUM(O137:Q137)</f>
        <v>15227436</v>
      </c>
      <c r="O137" s="28">
        <f>O136/K136*K137</f>
        <v>10257981.160265356</v>
      </c>
      <c r="P137" s="29">
        <f>P136/K136*K137</f>
        <v>3975563.8722016606</v>
      </c>
      <c r="Q137" s="29">
        <f>Q136/K136*K137</f>
        <v>993890.9675329827</v>
      </c>
      <c r="R137" s="16"/>
    </row>
    <row r="138" spans="1:36" ht="28.5" customHeight="1">
      <c r="A138" s="40" t="s">
        <v>264</v>
      </c>
      <c r="B138" s="22" t="s">
        <v>265</v>
      </c>
      <c r="C138" s="43" t="s">
        <v>266</v>
      </c>
      <c r="D138" s="24">
        <v>41297</v>
      </c>
      <c r="E138" s="45" t="s">
        <v>154</v>
      </c>
      <c r="F138" s="45" t="s">
        <v>204</v>
      </c>
      <c r="G138" s="26">
        <v>45</v>
      </c>
      <c r="H138" s="26">
        <v>15</v>
      </c>
      <c r="I138" s="26">
        <v>5</v>
      </c>
      <c r="J138" s="26">
        <v>10</v>
      </c>
      <c r="K138" s="27">
        <v>405.37</v>
      </c>
      <c r="L138" s="27">
        <v>136.35</v>
      </c>
      <c r="M138" s="27">
        <v>269.02</v>
      </c>
      <c r="N138" s="28">
        <f t="shared" ref="N138:N146" si="37">SUM(O138:Q138)</f>
        <v>22862868</v>
      </c>
      <c r="O138" s="28">
        <f t="shared" ref="O138:O146" si="38">O137/K137*K138</f>
        <v>15401599.403447416</v>
      </c>
      <c r="P138" s="29">
        <f t="shared" ref="P138:P146" si="39">P137/K137*K138</f>
        <v>5969014.8778635766</v>
      </c>
      <c r="Q138" s="29">
        <f t="shared" ref="Q138:Q146" si="40">Q137/K137*K138</f>
        <v>1492253.7186890077</v>
      </c>
      <c r="R138" s="16"/>
    </row>
    <row r="139" spans="1:36" ht="28.5" customHeight="1">
      <c r="A139" s="40" t="s">
        <v>267</v>
      </c>
      <c r="B139" s="22" t="s">
        <v>268</v>
      </c>
      <c r="C139" s="43" t="s">
        <v>269</v>
      </c>
      <c r="D139" s="24">
        <v>41311</v>
      </c>
      <c r="E139" s="45" t="s">
        <v>154</v>
      </c>
      <c r="F139" s="45" t="s">
        <v>204</v>
      </c>
      <c r="G139" s="26">
        <v>6</v>
      </c>
      <c r="H139" s="26">
        <v>5</v>
      </c>
      <c r="I139" s="26">
        <v>4</v>
      </c>
      <c r="J139" s="26">
        <v>1</v>
      </c>
      <c r="K139" s="27">
        <v>143.94999999999999</v>
      </c>
      <c r="L139" s="27">
        <v>117.45</v>
      </c>
      <c r="M139" s="27">
        <v>26.5</v>
      </c>
      <c r="N139" s="28">
        <f t="shared" si="37"/>
        <v>8118779.9999999991</v>
      </c>
      <c r="O139" s="28">
        <f t="shared" si="38"/>
        <v>5469226.2232682621</v>
      </c>
      <c r="P139" s="29">
        <f t="shared" si="39"/>
        <v>2119643.0216060928</v>
      </c>
      <c r="Q139" s="29">
        <f t="shared" si="40"/>
        <v>529910.75512564485</v>
      </c>
      <c r="R139" s="16"/>
    </row>
    <row r="140" spans="1:36" ht="28.5" customHeight="1">
      <c r="A140" s="40" t="s">
        <v>270</v>
      </c>
      <c r="B140" s="22" t="s">
        <v>271</v>
      </c>
      <c r="C140" s="43" t="s">
        <v>272</v>
      </c>
      <c r="D140" s="24">
        <v>41374</v>
      </c>
      <c r="E140" s="45" t="s">
        <v>154</v>
      </c>
      <c r="F140" s="45" t="s">
        <v>204</v>
      </c>
      <c r="G140" s="26">
        <v>37</v>
      </c>
      <c r="H140" s="26">
        <v>12</v>
      </c>
      <c r="I140" s="26">
        <v>2</v>
      </c>
      <c r="J140" s="26">
        <v>10</v>
      </c>
      <c r="K140" s="27">
        <v>372.58</v>
      </c>
      <c r="L140" s="27">
        <v>59.18</v>
      </c>
      <c r="M140" s="27">
        <v>313.39999999999998</v>
      </c>
      <c r="N140" s="28">
        <f t="shared" si="37"/>
        <v>21013512</v>
      </c>
      <c r="O140" s="28">
        <f t="shared" si="38"/>
        <v>14155778.438800203</v>
      </c>
      <c r="P140" s="29">
        <f t="shared" si="39"/>
        <v>5486186.8495310741</v>
      </c>
      <c r="Q140" s="29">
        <f t="shared" si="40"/>
        <v>1371546.7116687235</v>
      </c>
      <c r="R140" s="16"/>
      <c r="AJ140">
        <f>N140/K140</f>
        <v>56400</v>
      </c>
    </row>
    <row r="141" spans="1:36" ht="28.5" customHeight="1">
      <c r="A141" s="40" t="s">
        <v>273</v>
      </c>
      <c r="B141" s="22" t="s">
        <v>274</v>
      </c>
      <c r="C141" s="43" t="s">
        <v>275</v>
      </c>
      <c r="D141" s="24">
        <v>41373</v>
      </c>
      <c r="E141" s="45" t="s">
        <v>154</v>
      </c>
      <c r="F141" s="45" t="s">
        <v>204</v>
      </c>
      <c r="G141" s="26">
        <v>40</v>
      </c>
      <c r="H141" s="26">
        <v>16</v>
      </c>
      <c r="I141" s="26">
        <v>14</v>
      </c>
      <c r="J141" s="26">
        <v>2</v>
      </c>
      <c r="K141" s="27">
        <v>552.29999999999995</v>
      </c>
      <c r="L141" s="27">
        <v>482.5</v>
      </c>
      <c r="M141" s="27">
        <v>69.8</v>
      </c>
      <c r="N141" s="28">
        <f t="shared" si="37"/>
        <v>31149720</v>
      </c>
      <c r="O141" s="28">
        <f t="shared" si="38"/>
        <v>20984047.538110878</v>
      </c>
      <c r="P141" s="29">
        <f t="shared" si="39"/>
        <v>8132537.9703580765</v>
      </c>
      <c r="Q141" s="29">
        <f t="shared" si="40"/>
        <v>2033134.4915310431</v>
      </c>
      <c r="R141" s="16"/>
    </row>
    <row r="142" spans="1:36" ht="28.5" customHeight="1">
      <c r="A142" s="40" t="s">
        <v>276</v>
      </c>
      <c r="B142" s="22" t="s">
        <v>277</v>
      </c>
      <c r="C142" s="43" t="s">
        <v>278</v>
      </c>
      <c r="D142" s="24">
        <v>41247</v>
      </c>
      <c r="E142" s="45" t="s">
        <v>154</v>
      </c>
      <c r="F142" s="45" t="s">
        <v>204</v>
      </c>
      <c r="G142" s="26">
        <v>8</v>
      </c>
      <c r="H142" s="26">
        <v>3</v>
      </c>
      <c r="I142" s="26">
        <v>2</v>
      </c>
      <c r="J142" s="26">
        <v>1</v>
      </c>
      <c r="K142" s="27">
        <v>73.2</v>
      </c>
      <c r="L142" s="27">
        <v>53.7</v>
      </c>
      <c r="M142" s="27">
        <v>19.5</v>
      </c>
      <c r="N142" s="28">
        <f t="shared" si="37"/>
        <v>4128480</v>
      </c>
      <c r="O142" s="28">
        <f t="shared" si="38"/>
        <v>2781155.6758821593</v>
      </c>
      <c r="P142" s="29">
        <f t="shared" si="39"/>
        <v>1077859.4594065023</v>
      </c>
      <c r="Q142" s="29">
        <f t="shared" si="40"/>
        <v>269464.86471133871</v>
      </c>
      <c r="R142" s="16"/>
    </row>
    <row r="143" spans="1:36" ht="28.5" customHeight="1">
      <c r="A143" s="40" t="s">
        <v>279</v>
      </c>
      <c r="B143" s="22" t="s">
        <v>280</v>
      </c>
      <c r="C143" s="43" t="s">
        <v>281</v>
      </c>
      <c r="D143" s="24">
        <v>41304</v>
      </c>
      <c r="E143" s="45" t="s">
        <v>204</v>
      </c>
      <c r="F143" s="45" t="s">
        <v>205</v>
      </c>
      <c r="G143" s="26">
        <v>11</v>
      </c>
      <c r="H143" s="26">
        <v>3</v>
      </c>
      <c r="I143" s="26">
        <v>1</v>
      </c>
      <c r="J143" s="26">
        <v>2</v>
      </c>
      <c r="K143" s="27">
        <v>76.710000000000008</v>
      </c>
      <c r="L143" s="27">
        <v>43.6</v>
      </c>
      <c r="M143" s="27">
        <v>33.11</v>
      </c>
      <c r="N143" s="28">
        <f t="shared" si="37"/>
        <v>4326444</v>
      </c>
      <c r="O143" s="28">
        <f t="shared" si="38"/>
        <v>2914514.3701765086</v>
      </c>
      <c r="P143" s="29">
        <f t="shared" si="39"/>
        <v>1129543.7039764044</v>
      </c>
      <c r="Q143" s="29">
        <f t="shared" si="40"/>
        <v>282385.92584708735</v>
      </c>
      <c r="R143" s="59"/>
    </row>
    <row r="144" spans="1:36" ht="27" customHeight="1">
      <c r="A144" s="21" t="s">
        <v>284</v>
      </c>
      <c r="B144" s="22" t="s">
        <v>285</v>
      </c>
      <c r="C144" s="43" t="s">
        <v>286</v>
      </c>
      <c r="D144" s="24">
        <v>42016</v>
      </c>
      <c r="E144" s="45" t="s">
        <v>204</v>
      </c>
      <c r="F144" s="45" t="s">
        <v>205</v>
      </c>
      <c r="G144" s="26">
        <v>7</v>
      </c>
      <c r="H144" s="26">
        <v>4</v>
      </c>
      <c r="I144" s="26">
        <v>4</v>
      </c>
      <c r="J144" s="26">
        <v>0</v>
      </c>
      <c r="K144" s="27">
        <v>106.94</v>
      </c>
      <c r="L144" s="27">
        <v>106.94</v>
      </c>
      <c r="M144" s="27">
        <v>0</v>
      </c>
      <c r="N144" s="28">
        <f t="shared" si="37"/>
        <v>6031416</v>
      </c>
      <c r="O144" s="28">
        <f t="shared" si="38"/>
        <v>4063070.8740278427</v>
      </c>
      <c r="P144" s="29">
        <f t="shared" si="39"/>
        <v>1574676.1009416853</v>
      </c>
      <c r="Q144" s="29">
        <f t="shared" si="40"/>
        <v>393669.02503047214</v>
      </c>
      <c r="R144" s="59"/>
    </row>
    <row r="145" spans="1:18" ht="28.5" customHeight="1">
      <c r="A145" s="21" t="s">
        <v>287</v>
      </c>
      <c r="B145" s="22" t="s">
        <v>288</v>
      </c>
      <c r="C145" s="43" t="s">
        <v>289</v>
      </c>
      <c r="D145" s="24">
        <v>41730</v>
      </c>
      <c r="E145" s="45" t="s">
        <v>204</v>
      </c>
      <c r="F145" s="45" t="s">
        <v>205</v>
      </c>
      <c r="G145" s="26">
        <v>47</v>
      </c>
      <c r="H145" s="26">
        <v>6</v>
      </c>
      <c r="I145" s="26">
        <v>1</v>
      </c>
      <c r="J145" s="26">
        <v>5</v>
      </c>
      <c r="K145" s="27">
        <v>269.13</v>
      </c>
      <c r="L145" s="27">
        <v>56.2</v>
      </c>
      <c r="M145" s="27">
        <v>212.93</v>
      </c>
      <c r="N145" s="28">
        <f t="shared" si="37"/>
        <v>15178932</v>
      </c>
      <c r="O145" s="28">
        <f t="shared" si="38"/>
        <v>10225306.380466741</v>
      </c>
      <c r="P145" s="29">
        <f t="shared" si="39"/>
        <v>3962900.4960392346</v>
      </c>
      <c r="Q145" s="29">
        <f t="shared" si="40"/>
        <v>990725.12349402439</v>
      </c>
      <c r="R145" s="59"/>
    </row>
    <row r="146" spans="1:18" ht="28.5" customHeight="1">
      <c r="A146" s="21" t="s">
        <v>290</v>
      </c>
      <c r="B146" s="22" t="s">
        <v>291</v>
      </c>
      <c r="C146" s="43" t="s">
        <v>292</v>
      </c>
      <c r="D146" s="24">
        <v>42046</v>
      </c>
      <c r="E146" s="45" t="s">
        <v>204</v>
      </c>
      <c r="F146" s="45" t="s">
        <v>205</v>
      </c>
      <c r="G146" s="26">
        <v>23</v>
      </c>
      <c r="H146" s="26">
        <v>12</v>
      </c>
      <c r="I146" s="26">
        <v>10</v>
      </c>
      <c r="J146" s="26">
        <v>2</v>
      </c>
      <c r="K146" s="27">
        <v>338.77</v>
      </c>
      <c r="L146" s="27">
        <v>267.40999999999997</v>
      </c>
      <c r="M146" s="27">
        <v>71.36</v>
      </c>
      <c r="N146" s="28">
        <f t="shared" si="37"/>
        <v>19106628</v>
      </c>
      <c r="O146" s="28">
        <f t="shared" si="38"/>
        <v>12871203.665554632</v>
      </c>
      <c r="P146" s="29">
        <f t="shared" si="39"/>
        <v>4988339.4680756936</v>
      </c>
      <c r="Q146" s="29">
        <f t="shared" si="40"/>
        <v>1247084.8663696751</v>
      </c>
      <c r="R146" s="59"/>
    </row>
    <row r="147" spans="1:18">
      <c r="N147" s="451">
        <f>SUM(O147:Q147)</f>
        <v>147144216</v>
      </c>
      <c r="O147" s="451">
        <f>SUM(O137:O146)</f>
        <v>99123883.730000004</v>
      </c>
      <c r="P147" s="451">
        <f>SUM(P137:P146)</f>
        <v>38416265.82</v>
      </c>
      <c r="Q147" s="451">
        <f>SUM(Q137:Q146)</f>
        <v>9604066.4499999993</v>
      </c>
    </row>
    <row r="148" spans="1:18">
      <c r="A148" s="142"/>
      <c r="B148" s="142"/>
      <c r="C148" s="142"/>
      <c r="D148" s="142"/>
      <c r="E148" s="142"/>
      <c r="F148" s="142"/>
      <c r="G148" s="142"/>
      <c r="H148" s="142"/>
      <c r="I148" s="142"/>
      <c r="J148" s="142"/>
      <c r="K148" s="142"/>
      <c r="L148" s="142"/>
      <c r="M148" s="142"/>
      <c r="N148" s="142"/>
      <c r="O148" s="142"/>
      <c r="P148" s="142"/>
      <c r="Q148" s="142"/>
    </row>
    <row r="149" spans="1:18">
      <c r="A149" s="142"/>
      <c r="B149" s="142"/>
      <c r="C149" s="142"/>
      <c r="D149" s="142"/>
      <c r="E149" s="142"/>
      <c r="F149" s="142"/>
      <c r="G149" s="142"/>
      <c r="H149" s="142"/>
      <c r="I149" s="142"/>
      <c r="J149" s="142"/>
      <c r="K149" s="142"/>
      <c r="L149" s="142"/>
      <c r="M149" s="142"/>
      <c r="N149" s="142"/>
      <c r="O149" s="142"/>
      <c r="P149" s="142"/>
      <c r="Q149" s="142"/>
    </row>
    <row r="150" spans="1:18">
      <c r="A150" s="142"/>
      <c r="B150" s="142"/>
      <c r="C150" s="142"/>
      <c r="D150" s="142"/>
      <c r="E150" s="142"/>
      <c r="F150" s="142"/>
      <c r="G150" s="142"/>
      <c r="H150" s="142"/>
      <c r="I150" s="142"/>
      <c r="J150" s="142"/>
      <c r="K150" s="142"/>
      <c r="L150" s="142"/>
      <c r="M150" s="142"/>
      <c r="N150" s="142"/>
      <c r="O150" s="142"/>
      <c r="P150" s="142"/>
      <c r="Q150" s="142"/>
    </row>
    <row r="151" spans="1:18">
      <c r="A151" s="142"/>
      <c r="B151" s="142"/>
      <c r="C151" s="142"/>
      <c r="D151" s="142"/>
      <c r="E151" s="142"/>
      <c r="F151" s="142"/>
      <c r="G151" s="142"/>
      <c r="H151" s="142"/>
      <c r="I151" s="142"/>
      <c r="J151" s="142"/>
      <c r="K151" s="142"/>
      <c r="L151" s="142"/>
      <c r="M151" s="142"/>
      <c r="N151" s="142"/>
      <c r="O151" s="142"/>
      <c r="P151" s="142"/>
      <c r="Q151" s="142"/>
    </row>
    <row r="152" spans="1:18">
      <c r="A152" s="142"/>
      <c r="B152" s="142"/>
      <c r="C152" s="142"/>
      <c r="D152" s="142"/>
      <c r="E152" s="142"/>
      <c r="F152" s="142"/>
      <c r="G152" s="142"/>
      <c r="H152" s="142"/>
      <c r="I152" s="142"/>
      <c r="J152" s="142"/>
      <c r="K152" s="142"/>
      <c r="L152" s="142"/>
      <c r="M152" s="142"/>
      <c r="N152" s="142"/>
      <c r="O152" s="142"/>
      <c r="P152" s="142"/>
      <c r="Q152" s="142"/>
    </row>
    <row r="153" spans="1:18">
      <c r="A153" s="142"/>
      <c r="B153" s="142"/>
      <c r="C153" s="142"/>
      <c r="D153" s="142"/>
      <c r="E153" s="142"/>
      <c r="F153" s="142"/>
      <c r="G153" s="142"/>
      <c r="H153" s="142"/>
      <c r="I153" s="142"/>
      <c r="J153" s="142"/>
      <c r="K153" s="142"/>
      <c r="L153" s="142"/>
      <c r="M153" s="142"/>
      <c r="N153" s="142"/>
      <c r="O153" s="142"/>
      <c r="P153" s="142"/>
      <c r="Q153" s="142"/>
    </row>
    <row r="154" spans="1:18">
      <c r="A154" s="142"/>
      <c r="B154" s="142"/>
      <c r="C154" s="142"/>
      <c r="D154" s="142"/>
      <c r="E154" s="142"/>
      <c r="F154" s="142"/>
      <c r="G154" s="142"/>
      <c r="H154" s="142"/>
      <c r="I154" s="142"/>
      <c r="J154" s="142"/>
      <c r="K154" s="142"/>
      <c r="L154" s="142"/>
      <c r="M154" s="142"/>
      <c r="N154" s="142"/>
      <c r="O154" s="142"/>
      <c r="P154" s="142"/>
      <c r="Q154" s="142"/>
    </row>
    <row r="155" spans="1:18">
      <c r="A155" s="142"/>
      <c r="B155" s="142"/>
      <c r="C155" s="142"/>
      <c r="D155" s="142"/>
      <c r="E155" s="142"/>
      <c r="F155" s="142"/>
      <c r="G155" s="142"/>
      <c r="H155" s="142"/>
      <c r="I155" s="142"/>
      <c r="J155" s="142"/>
      <c r="K155" s="142"/>
      <c r="L155" s="142"/>
      <c r="M155" s="142"/>
      <c r="N155" s="142"/>
      <c r="O155" s="142"/>
      <c r="P155" s="142"/>
      <c r="Q155" s="142"/>
    </row>
  </sheetData>
  <mergeCells count="70">
    <mergeCell ref="A87:B87"/>
    <mergeCell ref="A131:B131"/>
    <mergeCell ref="R79:R82"/>
    <mergeCell ref="A83:B83"/>
    <mergeCell ref="A84:B84"/>
    <mergeCell ref="A136:B136"/>
    <mergeCell ref="A90:B90"/>
    <mergeCell ref="A98:B98"/>
    <mergeCell ref="A100:B100"/>
    <mergeCell ref="A103:B103"/>
    <mergeCell ref="A111:B111"/>
    <mergeCell ref="A117:B117"/>
    <mergeCell ref="A121:B121"/>
    <mergeCell ref="A122:B122"/>
    <mergeCell ref="A73:B73"/>
    <mergeCell ref="A76:B76"/>
    <mergeCell ref="A78:B78"/>
    <mergeCell ref="A67:B67"/>
    <mergeCell ref="A71:B71"/>
    <mergeCell ref="A60:B60"/>
    <mergeCell ref="A63:B63"/>
    <mergeCell ref="A64:B64"/>
    <mergeCell ref="A25:B25"/>
    <mergeCell ref="A28:B28"/>
    <mergeCell ref="A33:B33"/>
    <mergeCell ref="A39:B39"/>
    <mergeCell ref="A54:B54"/>
    <mergeCell ref="A43:B43"/>
    <mergeCell ref="A44:B44"/>
    <mergeCell ref="A47:B47"/>
    <mergeCell ref="A50:B50"/>
    <mergeCell ref="A42:B42"/>
    <mergeCell ref="A14:B14"/>
    <mergeCell ref="A15:B15"/>
    <mergeCell ref="A16:B16"/>
    <mergeCell ref="A17:B17"/>
    <mergeCell ref="R39:R41"/>
    <mergeCell ref="A40:B40"/>
    <mergeCell ref="A18:B18"/>
    <mergeCell ref="A19:B19"/>
    <mergeCell ref="M10:M11"/>
    <mergeCell ref="N8:Q8"/>
    <mergeCell ref="R8:R12"/>
    <mergeCell ref="H9:H11"/>
    <mergeCell ref="I9:J9"/>
    <mergeCell ref="K9:K11"/>
    <mergeCell ref="L9:M9"/>
    <mergeCell ref="N9:N11"/>
    <mergeCell ref="O9:O11"/>
    <mergeCell ref="O1:R1"/>
    <mergeCell ref="P2:R2"/>
    <mergeCell ref="P3:R3"/>
    <mergeCell ref="N4:Q4"/>
    <mergeCell ref="N5:Q5"/>
    <mergeCell ref="A6:R6"/>
    <mergeCell ref="H8:J8"/>
    <mergeCell ref="K8:M8"/>
    <mergeCell ref="B8:B12"/>
    <mergeCell ref="C8:D10"/>
    <mergeCell ref="E8:E12"/>
    <mergeCell ref="F8:F12"/>
    <mergeCell ref="G8:G11"/>
    <mergeCell ref="C11:C12"/>
    <mergeCell ref="D11:D12"/>
    <mergeCell ref="A8:A12"/>
    <mergeCell ref="P9:P11"/>
    <mergeCell ref="Q9:Q11"/>
    <mergeCell ref="I10:I11"/>
    <mergeCell ref="J10:J11"/>
    <mergeCell ref="L10:L11"/>
  </mergeCells>
  <phoneticPr fontId="63" type="noConversion"/>
  <pageMargins left="0.27559055118110237" right="0" top="0" bottom="0" header="0.31496062992125984" footer="0.31496062992125984"/>
  <pageSetup paperSize="9" scale="74" firstPageNumber="25" fitToHeight="2" orientation="landscape" useFirstPageNumber="1" r:id="rId1"/>
  <headerFooter scaleWithDoc="0">
    <oddHeader>&amp;C&amp;"PT Astra Serif,обычный"&amp;14&amp;P</oddHeader>
  </headerFooter>
</worksheet>
</file>

<file path=xl/worksheets/sheet8.xml><?xml version="1.0" encoding="utf-8"?>
<worksheet xmlns="http://schemas.openxmlformats.org/spreadsheetml/2006/main" xmlns:r="http://schemas.openxmlformats.org/officeDocument/2006/relationships">
  <dimension ref="A1:K33"/>
  <sheetViews>
    <sheetView workbookViewId="0">
      <selection activeCell="G12" sqref="G12"/>
    </sheetView>
  </sheetViews>
  <sheetFormatPr defaultRowHeight="15"/>
  <cols>
    <col min="1" max="1" width="4.140625" customWidth="1"/>
    <col min="2" max="2" width="10.140625" customWidth="1"/>
    <col min="3" max="6" width="10.42578125" customWidth="1"/>
    <col min="7" max="7" width="13.28515625" customWidth="1"/>
    <col min="8" max="8" width="18" customWidth="1"/>
    <col min="9" max="9" width="11.7109375" bestFit="1" customWidth="1"/>
    <col min="10" max="10" width="24.28515625" customWidth="1"/>
    <col min="11" max="11" width="15.28515625" bestFit="1" customWidth="1"/>
  </cols>
  <sheetData>
    <row r="1" spans="1:10">
      <c r="B1" t="s">
        <v>589</v>
      </c>
      <c r="C1">
        <f>46-18-1</f>
        <v>27</v>
      </c>
    </row>
    <row r="2" spans="1:10" ht="15.75" thickBot="1"/>
    <row r="3" spans="1:10" ht="15.75" thickBot="1">
      <c r="A3" s="280" t="s">
        <v>576</v>
      </c>
      <c r="B3" s="281"/>
      <c r="C3" s="139" t="s">
        <v>591</v>
      </c>
      <c r="D3" s="139" t="s">
        <v>592</v>
      </c>
      <c r="E3" s="139" t="s">
        <v>593</v>
      </c>
      <c r="F3" s="139" t="s">
        <v>594</v>
      </c>
      <c r="G3" s="281" t="s">
        <v>577</v>
      </c>
      <c r="H3" s="281" t="s">
        <v>579</v>
      </c>
      <c r="I3" s="281" t="s">
        <v>578</v>
      </c>
      <c r="J3" s="282" t="s">
        <v>580</v>
      </c>
    </row>
    <row r="4" spans="1:10" ht="15.75" thickBot="1">
      <c r="A4" s="283">
        <v>1</v>
      </c>
      <c r="B4" s="284"/>
      <c r="C4" s="139">
        <v>1</v>
      </c>
      <c r="D4" s="139"/>
      <c r="E4" s="139"/>
      <c r="F4" s="139"/>
      <c r="G4" s="275">
        <v>24.047999999999998</v>
      </c>
      <c r="H4" s="278">
        <v>1130256</v>
      </c>
      <c r="I4" s="284">
        <f t="shared" ref="I4:I11" si="0">H4/G4</f>
        <v>47000</v>
      </c>
      <c r="J4" s="285" t="s">
        <v>581</v>
      </c>
    </row>
    <row r="5" spans="1:10" ht="15.75" thickBot="1">
      <c r="A5" s="283"/>
      <c r="B5" s="284" t="s">
        <v>588</v>
      </c>
      <c r="C5" s="139"/>
      <c r="D5" s="139">
        <v>1</v>
      </c>
      <c r="E5" s="139"/>
      <c r="F5" s="139"/>
      <c r="G5" s="276">
        <v>41.64</v>
      </c>
      <c r="H5" s="279">
        <v>1957080</v>
      </c>
      <c r="I5" s="284">
        <f t="shared" si="0"/>
        <v>47000</v>
      </c>
      <c r="J5" s="285" t="s">
        <v>581</v>
      </c>
    </row>
    <row r="6" spans="1:10" ht="15.75" thickBot="1">
      <c r="A6" s="286"/>
      <c r="B6" s="287">
        <v>44310</v>
      </c>
      <c r="C6" s="139">
        <v>1</v>
      </c>
      <c r="D6" s="139"/>
      <c r="E6" s="139"/>
      <c r="F6" s="139"/>
      <c r="G6" s="276">
        <v>26.376000000000001</v>
      </c>
      <c r="H6" s="279">
        <v>1239672</v>
      </c>
      <c r="I6" s="284">
        <f t="shared" si="0"/>
        <v>47000</v>
      </c>
      <c r="J6" s="285" t="s">
        <v>581</v>
      </c>
    </row>
    <row r="7" spans="1:10" ht="15.75" thickBot="1">
      <c r="A7" s="283"/>
      <c r="B7" s="284"/>
      <c r="C7" s="139">
        <v>1</v>
      </c>
      <c r="D7" s="139"/>
      <c r="E7" s="139"/>
      <c r="F7" s="139"/>
      <c r="G7" s="276">
        <v>26.783999999999999</v>
      </c>
      <c r="H7" s="279">
        <v>1258848</v>
      </c>
      <c r="I7" s="284">
        <f t="shared" si="0"/>
        <v>47000</v>
      </c>
      <c r="J7" s="285" t="s">
        <v>581</v>
      </c>
    </row>
    <row r="8" spans="1:10" ht="15.75" thickBot="1">
      <c r="A8" s="283"/>
      <c r="B8" s="284">
        <v>8</v>
      </c>
      <c r="C8" s="139">
        <v>1</v>
      </c>
      <c r="D8" s="139"/>
      <c r="E8" s="139"/>
      <c r="F8" s="139"/>
      <c r="G8" s="276">
        <v>23.088000000000001</v>
      </c>
      <c r="H8" s="279">
        <v>1085136</v>
      </c>
      <c r="I8" s="284">
        <f t="shared" si="0"/>
        <v>47000</v>
      </c>
      <c r="J8" s="285" t="s">
        <v>581</v>
      </c>
    </row>
    <row r="9" spans="1:10" ht="15.75" thickBot="1">
      <c r="A9" s="283"/>
      <c r="B9" s="284" t="s">
        <v>590</v>
      </c>
      <c r="C9" s="139">
        <v>1</v>
      </c>
      <c r="D9" s="139"/>
      <c r="E9" s="139"/>
      <c r="F9" s="139"/>
      <c r="G9" s="276">
        <v>21.396000000000001</v>
      </c>
      <c r="H9" s="279">
        <v>1005612</v>
      </c>
      <c r="I9" s="284">
        <f t="shared" si="0"/>
        <v>47000</v>
      </c>
      <c r="J9" s="285" t="s">
        <v>581</v>
      </c>
    </row>
    <row r="10" spans="1:10" ht="15.75" thickBot="1">
      <c r="A10" s="283"/>
      <c r="B10" s="284"/>
      <c r="C10" s="139">
        <v>1</v>
      </c>
      <c r="D10" s="139"/>
      <c r="E10" s="139"/>
      <c r="F10" s="139"/>
      <c r="G10" s="276">
        <v>21.684000000000001</v>
      </c>
      <c r="H10" s="279">
        <v>1019148</v>
      </c>
      <c r="I10" s="284">
        <f t="shared" si="0"/>
        <v>47000</v>
      </c>
      <c r="J10" s="285" t="s">
        <v>581</v>
      </c>
    </row>
    <row r="11" spans="1:10" ht="15.75" thickBot="1">
      <c r="A11" s="283"/>
      <c r="B11" s="284"/>
      <c r="C11" s="139">
        <v>1</v>
      </c>
      <c r="D11" s="139"/>
      <c r="E11" s="139"/>
      <c r="F11" s="139"/>
      <c r="G11" s="276">
        <v>30.84</v>
      </c>
      <c r="H11" s="279">
        <v>1449480</v>
      </c>
      <c r="I11" s="284">
        <f t="shared" si="0"/>
        <v>47000</v>
      </c>
      <c r="J11" s="285" t="s">
        <v>581</v>
      </c>
    </row>
    <row r="12" spans="1:10" ht="15.75" thickBot="1">
      <c r="A12" s="288"/>
      <c r="B12" s="289"/>
      <c r="C12" s="139"/>
      <c r="D12" s="139"/>
      <c r="E12" s="139"/>
      <c r="F12" s="139"/>
      <c r="G12" s="289">
        <f>SUM(G4:G11)</f>
        <v>215.85599999999999</v>
      </c>
      <c r="H12" s="290">
        <f>SUM(H4:H11)</f>
        <v>10145232</v>
      </c>
      <c r="I12" s="289">
        <f>H12/G12</f>
        <v>47000</v>
      </c>
      <c r="J12" s="291">
        <f>G12*I12</f>
        <v>10145232</v>
      </c>
    </row>
    <row r="13" spans="1:10">
      <c r="A13" s="280">
        <v>2</v>
      </c>
      <c r="B13" s="281"/>
      <c r="C13" s="139"/>
      <c r="D13" s="139">
        <v>1</v>
      </c>
      <c r="E13" s="139"/>
      <c r="F13" s="139"/>
      <c r="G13" s="292">
        <v>50</v>
      </c>
      <c r="H13" s="293">
        <v>2181666.5</v>
      </c>
      <c r="I13" s="281">
        <f>H13/G13</f>
        <v>43633.33</v>
      </c>
      <c r="J13" s="282" t="s">
        <v>583</v>
      </c>
    </row>
    <row r="14" spans="1:10">
      <c r="A14" s="283">
        <f t="shared" ref="A14:A19" si="1">A13+1</f>
        <v>3</v>
      </c>
      <c r="B14" s="284"/>
      <c r="C14" s="139"/>
      <c r="D14" s="139"/>
      <c r="E14" s="139"/>
      <c r="F14" s="139">
        <v>1</v>
      </c>
      <c r="G14" s="277">
        <v>80</v>
      </c>
      <c r="H14" s="294">
        <f>G14*I14</f>
        <v>3490666.4000000004</v>
      </c>
      <c r="I14" s="284">
        <v>43633.33</v>
      </c>
      <c r="J14" s="285"/>
    </row>
    <row r="15" spans="1:10">
      <c r="A15" s="283">
        <f t="shared" si="1"/>
        <v>4</v>
      </c>
      <c r="B15" s="284"/>
      <c r="C15" s="139"/>
      <c r="D15" s="139"/>
      <c r="E15" s="139">
        <v>1</v>
      </c>
      <c r="F15" s="139"/>
      <c r="G15" s="277">
        <v>65</v>
      </c>
      <c r="H15" s="294">
        <f>G15*I15</f>
        <v>2836166.45</v>
      </c>
      <c r="I15" s="284">
        <v>43633.33</v>
      </c>
      <c r="J15" s="285" t="s">
        <v>582</v>
      </c>
    </row>
    <row r="16" spans="1:10">
      <c r="A16" s="283">
        <f t="shared" si="1"/>
        <v>5</v>
      </c>
      <c r="B16" s="284"/>
      <c r="C16" s="139"/>
      <c r="D16" s="139">
        <v>1</v>
      </c>
      <c r="E16" s="139"/>
      <c r="F16" s="139"/>
      <c r="G16" s="277">
        <v>50</v>
      </c>
      <c r="H16" s="294">
        <f>G16*I16</f>
        <v>2181666.5</v>
      </c>
      <c r="I16" s="284">
        <v>43633.33</v>
      </c>
      <c r="J16" s="285" t="s">
        <v>584</v>
      </c>
    </row>
    <row r="17" spans="1:11">
      <c r="A17" s="283">
        <f t="shared" si="1"/>
        <v>6</v>
      </c>
      <c r="B17" s="284"/>
      <c r="C17" s="139"/>
      <c r="D17" s="139">
        <v>1</v>
      </c>
      <c r="E17" s="139"/>
      <c r="F17" s="139"/>
      <c r="G17" s="277">
        <v>50</v>
      </c>
      <c r="H17" s="294">
        <f>G17*I17</f>
        <v>2181666.5</v>
      </c>
      <c r="I17" s="284">
        <v>43633.33</v>
      </c>
      <c r="J17" s="285" t="s">
        <v>585</v>
      </c>
    </row>
    <row r="18" spans="1:11">
      <c r="A18" s="283">
        <f t="shared" si="1"/>
        <v>7</v>
      </c>
      <c r="B18" s="284"/>
      <c r="C18" s="139"/>
      <c r="D18" s="139"/>
      <c r="E18" s="139">
        <v>1</v>
      </c>
      <c r="F18" s="139"/>
      <c r="G18" s="277">
        <v>65</v>
      </c>
      <c r="H18" s="294">
        <f>G18*I18</f>
        <v>2836166.45</v>
      </c>
      <c r="I18" s="284">
        <v>43633.33</v>
      </c>
      <c r="J18" s="285" t="s">
        <v>586</v>
      </c>
    </row>
    <row r="19" spans="1:11">
      <c r="A19" s="283">
        <f t="shared" si="1"/>
        <v>8</v>
      </c>
      <c r="B19" s="284"/>
      <c r="C19" s="139"/>
      <c r="D19" s="139">
        <v>1</v>
      </c>
      <c r="E19" s="139"/>
      <c r="F19" s="139"/>
      <c r="G19" s="277">
        <v>50</v>
      </c>
      <c r="H19" s="294">
        <v>2159849.84</v>
      </c>
      <c r="I19" s="295">
        <f>H19/G19</f>
        <v>43196.996799999994</v>
      </c>
      <c r="J19" s="285" t="s">
        <v>587</v>
      </c>
    </row>
    <row r="20" spans="1:11" ht="15.75" thickBot="1">
      <c r="A20" s="288"/>
      <c r="B20" s="289"/>
      <c r="C20" s="139"/>
      <c r="D20" s="139"/>
      <c r="E20" s="139"/>
      <c r="F20" s="139"/>
      <c r="G20" s="290">
        <f>SUM(G13:G19)</f>
        <v>410</v>
      </c>
      <c r="H20" s="290">
        <f>SUM(H13:H19)</f>
        <v>17867848.640000001</v>
      </c>
      <c r="I20" s="289"/>
      <c r="J20" s="291"/>
    </row>
    <row r="21" spans="1:11" ht="15.75" thickBot="1">
      <c r="A21" s="280">
        <f>A19+1</f>
        <v>9</v>
      </c>
      <c r="B21" s="281"/>
      <c r="C21" s="139"/>
      <c r="D21" s="139">
        <v>1</v>
      </c>
      <c r="E21" s="139"/>
      <c r="F21" s="139"/>
      <c r="G21" s="292">
        <v>31</v>
      </c>
      <c r="H21" s="297">
        <f>G21*I21</f>
        <v>1166158</v>
      </c>
      <c r="I21" s="281">
        <v>37618</v>
      </c>
      <c r="J21" s="282"/>
    </row>
    <row r="22" spans="1:11" ht="15.75" thickBot="1">
      <c r="A22" s="283">
        <f t="shared" ref="A22:A31" si="2">A21+1</f>
        <v>10</v>
      </c>
      <c r="B22" s="284"/>
      <c r="C22" s="139"/>
      <c r="D22" s="139">
        <v>1</v>
      </c>
      <c r="E22" s="139"/>
      <c r="F22" s="139"/>
      <c r="G22" s="277">
        <v>40</v>
      </c>
      <c r="H22" s="297">
        <f t="shared" ref="H22:H31" si="3">G22*I22</f>
        <v>1504720</v>
      </c>
      <c r="I22" s="281">
        <v>37618</v>
      </c>
      <c r="J22" s="285"/>
    </row>
    <row r="23" spans="1:11" ht="15.75" thickBot="1">
      <c r="A23" s="283">
        <f t="shared" si="2"/>
        <v>11</v>
      </c>
      <c r="B23" s="284"/>
      <c r="C23" s="139"/>
      <c r="D23" s="139">
        <v>1</v>
      </c>
      <c r="E23" s="139"/>
      <c r="F23" s="139"/>
      <c r="G23" s="277">
        <v>44</v>
      </c>
      <c r="H23" s="297">
        <f t="shared" si="3"/>
        <v>1655192</v>
      </c>
      <c r="I23" s="281">
        <v>37618</v>
      </c>
      <c r="J23" s="285"/>
    </row>
    <row r="24" spans="1:11" ht="15.75" thickBot="1">
      <c r="A24" s="283">
        <f t="shared" si="2"/>
        <v>12</v>
      </c>
      <c r="B24" s="284"/>
      <c r="C24" s="139"/>
      <c r="D24" s="139">
        <v>1</v>
      </c>
      <c r="E24" s="139"/>
      <c r="F24" s="139"/>
      <c r="G24" s="277">
        <v>48</v>
      </c>
      <c r="H24" s="297">
        <f t="shared" si="3"/>
        <v>1805664</v>
      </c>
      <c r="I24" s="281">
        <v>37618</v>
      </c>
      <c r="J24" s="285"/>
    </row>
    <row r="25" spans="1:11" ht="15.75" thickBot="1">
      <c r="A25" s="283">
        <f t="shared" si="2"/>
        <v>13</v>
      </c>
      <c r="B25" s="284"/>
      <c r="C25" s="139"/>
      <c r="D25" s="139">
        <v>1</v>
      </c>
      <c r="E25" s="139"/>
      <c r="F25" s="139"/>
      <c r="G25" s="277">
        <v>48</v>
      </c>
      <c r="H25" s="297">
        <f t="shared" si="3"/>
        <v>1805664</v>
      </c>
      <c r="I25" s="281">
        <v>37618</v>
      </c>
      <c r="J25" s="285"/>
    </row>
    <row r="26" spans="1:11" ht="15.75" thickBot="1">
      <c r="A26" s="283">
        <f t="shared" si="2"/>
        <v>14</v>
      </c>
      <c r="B26" s="284"/>
      <c r="C26" s="139"/>
      <c r="D26" s="139"/>
      <c r="E26" s="139">
        <v>1</v>
      </c>
      <c r="F26" s="139"/>
      <c r="G26" s="277">
        <v>59</v>
      </c>
      <c r="H26" s="297">
        <f t="shared" si="3"/>
        <v>2219462</v>
      </c>
      <c r="I26" s="281">
        <v>37618</v>
      </c>
      <c r="J26" s="285"/>
    </row>
    <row r="27" spans="1:11" ht="15.75" thickBot="1">
      <c r="A27" s="283">
        <f t="shared" si="2"/>
        <v>15</v>
      </c>
      <c r="B27" s="284"/>
      <c r="C27" s="139"/>
      <c r="D27" s="139"/>
      <c r="E27" s="139">
        <v>1</v>
      </c>
      <c r="F27" s="139"/>
      <c r="G27" s="277">
        <v>59</v>
      </c>
      <c r="H27" s="297">
        <f t="shared" si="3"/>
        <v>2219462</v>
      </c>
      <c r="I27" s="281">
        <v>37618</v>
      </c>
      <c r="J27" s="285"/>
    </row>
    <row r="28" spans="1:11" ht="15.75" thickBot="1">
      <c r="A28" s="283">
        <f t="shared" si="2"/>
        <v>16</v>
      </c>
      <c r="B28" s="284"/>
      <c r="C28" s="139"/>
      <c r="D28" s="139"/>
      <c r="E28" s="139">
        <v>1</v>
      </c>
      <c r="F28" s="139"/>
      <c r="G28" s="277">
        <v>59</v>
      </c>
      <c r="H28" s="297">
        <f t="shared" si="3"/>
        <v>2219462</v>
      </c>
      <c r="I28" s="281">
        <v>37618</v>
      </c>
      <c r="J28" s="285"/>
    </row>
    <row r="29" spans="1:11" ht="15.75" thickBot="1">
      <c r="A29" s="283">
        <f t="shared" si="2"/>
        <v>17</v>
      </c>
      <c r="B29" s="284"/>
      <c r="C29" s="139"/>
      <c r="D29" s="139"/>
      <c r="E29" s="139">
        <v>1</v>
      </c>
      <c r="F29" s="139"/>
      <c r="G29" s="277">
        <v>63</v>
      </c>
      <c r="H29" s="297">
        <f t="shared" si="3"/>
        <v>2369934</v>
      </c>
      <c r="I29" s="281">
        <v>37618</v>
      </c>
      <c r="J29" s="285"/>
    </row>
    <row r="30" spans="1:11" ht="15.75" thickBot="1">
      <c r="A30" s="283">
        <f t="shared" si="2"/>
        <v>18</v>
      </c>
      <c r="B30" s="284"/>
      <c r="C30" s="139"/>
      <c r="D30" s="139"/>
      <c r="E30" s="139">
        <v>1</v>
      </c>
      <c r="F30" s="139"/>
      <c r="G30" s="277">
        <v>63</v>
      </c>
      <c r="H30" s="297">
        <f t="shared" si="3"/>
        <v>2369934</v>
      </c>
      <c r="I30" s="281">
        <v>37618</v>
      </c>
      <c r="J30" s="285"/>
    </row>
    <row r="31" spans="1:11" ht="15.75" thickBot="1">
      <c r="A31" s="283">
        <f t="shared" si="2"/>
        <v>19</v>
      </c>
      <c r="B31" s="289"/>
      <c r="C31" s="139"/>
      <c r="D31" s="139"/>
      <c r="E31" s="139">
        <v>1</v>
      </c>
      <c r="F31" s="139"/>
      <c r="G31" s="298">
        <v>63</v>
      </c>
      <c r="H31" s="297">
        <f t="shared" si="3"/>
        <v>2369934</v>
      </c>
      <c r="I31" s="281">
        <v>37618</v>
      </c>
      <c r="J31" s="291"/>
    </row>
    <row r="32" spans="1:11">
      <c r="B32" s="296">
        <f>SUM(C32:F32)</f>
        <v>26</v>
      </c>
      <c r="C32" s="296">
        <f>SUM(C4:C31)</f>
        <v>7</v>
      </c>
      <c r="D32" s="296">
        <f>SUM(D4:D31)</f>
        <v>10</v>
      </c>
      <c r="E32" s="296">
        <f>SUM(E4:E31)</f>
        <v>8</v>
      </c>
      <c r="F32" s="296">
        <f>SUM(F4:F31)</f>
        <v>1</v>
      </c>
      <c r="G32" s="296">
        <f>SUM(G21:G31)</f>
        <v>577</v>
      </c>
      <c r="H32" s="145">
        <f>SUM(H21:H31)</f>
        <v>21705586</v>
      </c>
      <c r="J32">
        <f>G32*47000</f>
        <v>27119000</v>
      </c>
      <c r="K32" s="145">
        <f>J32+H20</f>
        <v>44986848.640000001</v>
      </c>
    </row>
    <row r="33" spans="7:8">
      <c r="G33" s="299">
        <f>G32+G20+G12</f>
        <v>1202.856</v>
      </c>
      <c r="H33" s="299">
        <f>H32+H20+H12</f>
        <v>49718666.640000001</v>
      </c>
    </row>
  </sheetData>
  <phoneticPr fontId="6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1:S43"/>
  <sheetViews>
    <sheetView topLeftCell="A5" workbookViewId="0">
      <pane xSplit="3" ySplit="1" topLeftCell="D22" activePane="bottomRight" state="frozen"/>
      <selection activeCell="C22" activeCellId="1" sqref="C19 C22"/>
      <selection pane="topRight" activeCell="C22" activeCellId="1" sqref="C19 C22"/>
      <selection pane="bottomLeft" activeCell="C22" activeCellId="1" sqref="C19 C22"/>
      <selection pane="bottomRight" activeCell="F22" activeCellId="3" sqref="F8 F10 F19 F22"/>
    </sheetView>
  </sheetViews>
  <sheetFormatPr defaultRowHeight="15"/>
  <cols>
    <col min="1" max="1" width="3.28515625" customWidth="1"/>
    <col min="2" max="2" width="4" customWidth="1"/>
    <col min="3" max="3" width="36.42578125" customWidth="1"/>
    <col min="4" max="4" width="6.42578125" customWidth="1"/>
    <col min="5" max="5" width="5.140625" customWidth="1"/>
    <col min="6" max="6" width="8.5703125" customWidth="1"/>
    <col min="7" max="7" width="6.28515625" customWidth="1"/>
    <col min="8" max="8" width="6.7109375" style="142" customWidth="1"/>
    <col min="9" max="9" width="6.5703125" customWidth="1"/>
    <col min="10" max="10" width="30.140625" customWidth="1"/>
    <col min="11" max="11" width="27.140625" customWidth="1"/>
    <col min="12" max="12" width="9.28515625" customWidth="1"/>
    <col min="13" max="13" width="15.28515625" customWidth="1"/>
    <col min="14" max="14" width="8.85546875" customWidth="1"/>
    <col min="19" max="19" width="70.7109375" customWidth="1"/>
  </cols>
  <sheetData>
    <row r="1" spans="1:19" ht="36.6" customHeight="1">
      <c r="A1" s="603" t="s">
        <v>425</v>
      </c>
      <c r="B1" s="603"/>
      <c r="C1" s="603"/>
      <c r="D1" s="603"/>
      <c r="E1" s="603"/>
      <c r="F1" s="603"/>
      <c r="G1" s="603"/>
      <c r="H1" s="603"/>
      <c r="I1" s="603"/>
      <c r="J1" s="603"/>
      <c r="K1" s="603"/>
      <c r="L1" s="603"/>
      <c r="M1" s="603"/>
    </row>
    <row r="2" spans="1:19" ht="18" customHeight="1">
      <c r="A2" s="603" t="s">
        <v>595</v>
      </c>
      <c r="B2" s="603"/>
      <c r="C2" s="603"/>
      <c r="D2" s="603"/>
      <c r="E2" s="603"/>
      <c r="F2" s="603"/>
      <c r="G2" s="603"/>
      <c r="H2" s="603"/>
      <c r="I2" s="603"/>
      <c r="J2" s="603"/>
      <c r="K2" s="603"/>
      <c r="L2" s="603"/>
      <c r="M2" s="603"/>
    </row>
    <row r="3" spans="1:19" ht="18" customHeight="1">
      <c r="A3" s="300"/>
      <c r="B3" s="300"/>
      <c r="C3" s="300"/>
      <c r="D3" s="300"/>
      <c r="E3" s="300"/>
      <c r="F3" s="300"/>
      <c r="G3" s="300"/>
      <c r="H3" s="149"/>
      <c r="I3" s="300"/>
      <c r="J3" s="300"/>
      <c r="K3" s="300"/>
      <c r="L3" s="300"/>
      <c r="M3" s="300"/>
    </row>
    <row r="4" spans="1:19" ht="30.6" customHeight="1">
      <c r="A4" s="301"/>
      <c r="B4" s="301"/>
      <c r="C4" s="301"/>
      <c r="D4" s="604" t="s">
        <v>429</v>
      </c>
      <c r="E4" s="604" t="s">
        <v>430</v>
      </c>
      <c r="F4" s="604" t="s">
        <v>431</v>
      </c>
      <c r="G4" s="604" t="s">
        <v>432</v>
      </c>
      <c r="H4" s="606" t="s">
        <v>433</v>
      </c>
      <c r="I4" s="608" t="s">
        <v>434</v>
      </c>
      <c r="J4" s="609"/>
      <c r="K4" s="609"/>
      <c r="L4" s="610"/>
      <c r="M4" s="604"/>
    </row>
    <row r="5" spans="1:19" ht="88.15" customHeight="1">
      <c r="A5" s="302" t="s">
        <v>3</v>
      </c>
      <c r="B5" s="302" t="s">
        <v>436</v>
      </c>
      <c r="C5" s="303" t="s">
        <v>437</v>
      </c>
      <c r="D5" s="605"/>
      <c r="E5" s="605"/>
      <c r="F5" s="605"/>
      <c r="G5" s="605"/>
      <c r="H5" s="607"/>
      <c r="I5" s="304" t="s">
        <v>439</v>
      </c>
      <c r="J5" s="304"/>
      <c r="K5" s="305" t="s">
        <v>596</v>
      </c>
      <c r="L5" s="305" t="s">
        <v>440</v>
      </c>
      <c r="M5" s="605"/>
      <c r="S5" s="306"/>
    </row>
    <row r="6" spans="1:19" ht="31.9" customHeight="1">
      <c r="A6" s="307"/>
      <c r="B6" s="307"/>
      <c r="C6" s="308" t="s">
        <v>597</v>
      </c>
      <c r="D6" s="309">
        <f>SUM(D7:D10)</f>
        <v>7</v>
      </c>
      <c r="E6" s="309">
        <f>SUM(E7:E10)</f>
        <v>4</v>
      </c>
      <c r="F6" s="310">
        <f>SUM(F7:F10)</f>
        <v>106.94</v>
      </c>
      <c r="G6" s="309">
        <f>SUM(G7:G10)</f>
        <v>0</v>
      </c>
      <c r="H6" s="169">
        <f>SUM(H7:H10)</f>
        <v>106.94</v>
      </c>
      <c r="I6" s="309"/>
      <c r="J6" s="311"/>
      <c r="K6" s="312"/>
      <c r="L6" s="310"/>
      <c r="M6" s="310">
        <f>F6*47000*1.2</f>
        <v>6031416</v>
      </c>
      <c r="N6" s="313">
        <v>267.74</v>
      </c>
      <c r="S6" s="306"/>
    </row>
    <row r="7" spans="1:19">
      <c r="A7" s="314">
        <v>1</v>
      </c>
      <c r="B7" s="220">
        <v>1</v>
      </c>
      <c r="C7" s="315" t="s">
        <v>598</v>
      </c>
      <c r="D7" s="180">
        <v>1</v>
      </c>
      <c r="E7" s="182">
        <v>1</v>
      </c>
      <c r="F7" s="316">
        <v>25.96</v>
      </c>
      <c r="G7" s="317">
        <v>0</v>
      </c>
      <c r="H7" s="252">
        <v>25.96</v>
      </c>
      <c r="I7" s="318"/>
      <c r="J7" s="311">
        <v>36683</v>
      </c>
      <c r="K7" s="319" t="s">
        <v>599</v>
      </c>
      <c r="L7" s="187"/>
      <c r="M7" s="320"/>
    </row>
    <row r="8" spans="1:19">
      <c r="A8" s="314">
        <v>2</v>
      </c>
      <c r="B8" s="220">
        <v>2</v>
      </c>
      <c r="C8" s="192" t="s">
        <v>600</v>
      </c>
      <c r="D8" s="180">
        <v>2</v>
      </c>
      <c r="E8" s="182">
        <v>1</v>
      </c>
      <c r="F8" s="316">
        <v>29.61</v>
      </c>
      <c r="G8" s="317">
        <v>0</v>
      </c>
      <c r="H8" s="252">
        <v>29.61</v>
      </c>
      <c r="I8" s="318"/>
      <c r="J8" s="311">
        <v>36035</v>
      </c>
      <c r="K8" s="319" t="s">
        <v>601</v>
      </c>
      <c r="L8" s="187"/>
      <c r="M8" s="320"/>
    </row>
    <row r="9" spans="1:19" ht="30" customHeight="1">
      <c r="A9" s="314">
        <v>3</v>
      </c>
      <c r="B9" s="220">
        <v>3</v>
      </c>
      <c r="C9" s="315" t="s">
        <v>602</v>
      </c>
      <c r="D9" s="180">
        <v>1</v>
      </c>
      <c r="E9" s="182">
        <v>1</v>
      </c>
      <c r="F9" s="316">
        <v>25.93</v>
      </c>
      <c r="G9" s="317">
        <v>0</v>
      </c>
      <c r="H9" s="252">
        <v>25.93</v>
      </c>
      <c r="I9" s="318"/>
      <c r="J9" s="311">
        <v>37981</v>
      </c>
      <c r="K9" s="319"/>
      <c r="L9" s="187"/>
      <c r="M9" s="320"/>
    </row>
    <row r="10" spans="1:19">
      <c r="A10" s="314">
        <v>4</v>
      </c>
      <c r="B10" s="220">
        <v>4</v>
      </c>
      <c r="C10" s="192" t="s">
        <v>603</v>
      </c>
      <c r="D10" s="180">
        <v>3</v>
      </c>
      <c r="E10" s="182">
        <v>1</v>
      </c>
      <c r="F10" s="316">
        <v>25.44</v>
      </c>
      <c r="G10" s="317">
        <v>0</v>
      </c>
      <c r="H10" s="252">
        <v>25.44</v>
      </c>
      <c r="I10" s="321"/>
      <c r="J10" s="311">
        <v>42019</v>
      </c>
      <c r="K10" s="319">
        <v>89374538033</v>
      </c>
      <c r="L10" s="187"/>
      <c r="M10" s="320"/>
    </row>
    <row r="11" spans="1:19">
      <c r="A11" s="322"/>
      <c r="B11" s="323"/>
      <c r="C11" s="308" t="s">
        <v>604</v>
      </c>
      <c r="D11" s="324">
        <f>SUM(D12:D17)</f>
        <v>47</v>
      </c>
      <c r="E11" s="324">
        <f>SUM(E12:E17)</f>
        <v>12</v>
      </c>
      <c r="F11" s="324">
        <f>SUM(F12:F17)</f>
        <v>269.13</v>
      </c>
      <c r="G11" s="325">
        <f>SUM(G12:G17)</f>
        <v>212.93</v>
      </c>
      <c r="H11" s="240">
        <f>SUM(H12:H17)</f>
        <v>56.2</v>
      </c>
      <c r="I11" s="324"/>
      <c r="J11" s="311"/>
      <c r="K11" s="326"/>
      <c r="L11" s="324"/>
      <c r="M11" s="310">
        <f>F11*47000*1.2</f>
        <v>15178932</v>
      </c>
      <c r="N11" s="313">
        <v>199.33</v>
      </c>
    </row>
    <row r="12" spans="1:19">
      <c r="A12" s="314">
        <v>1</v>
      </c>
      <c r="B12" s="611">
        <v>1</v>
      </c>
      <c r="C12" s="315" t="s">
        <v>605</v>
      </c>
      <c r="D12" s="180">
        <v>7</v>
      </c>
      <c r="E12" s="182">
        <v>1</v>
      </c>
      <c r="F12" s="327">
        <v>30.9</v>
      </c>
      <c r="G12" s="328">
        <v>30.9</v>
      </c>
      <c r="H12" s="252">
        <v>0</v>
      </c>
      <c r="I12" s="329"/>
      <c r="J12" s="311"/>
      <c r="K12" s="330"/>
      <c r="L12" s="317"/>
      <c r="M12" s="331"/>
    </row>
    <row r="13" spans="1:19">
      <c r="A13" s="314">
        <f>A12+1</f>
        <v>2</v>
      </c>
      <c r="B13" s="612"/>
      <c r="C13" s="315" t="s">
        <v>606</v>
      </c>
      <c r="D13" s="180">
        <v>2</v>
      </c>
      <c r="E13" s="182">
        <v>2</v>
      </c>
      <c r="F13" s="316">
        <v>47.6</v>
      </c>
      <c r="G13" s="328">
        <v>47.6</v>
      </c>
      <c r="H13" s="252">
        <v>0</v>
      </c>
      <c r="I13" s="329"/>
      <c r="J13" s="311"/>
      <c r="K13" s="330"/>
      <c r="L13" s="317"/>
      <c r="M13" s="331"/>
    </row>
    <row r="14" spans="1:19">
      <c r="A14" s="314">
        <f>A13+1</f>
        <v>3</v>
      </c>
      <c r="B14" s="220">
        <v>2</v>
      </c>
      <c r="C14" s="315" t="s">
        <v>607</v>
      </c>
      <c r="D14" s="180">
        <v>6</v>
      </c>
      <c r="E14" s="182">
        <v>2</v>
      </c>
      <c r="F14" s="327">
        <v>55.82</v>
      </c>
      <c r="G14" s="328">
        <v>55.82</v>
      </c>
      <c r="H14" s="252">
        <v>0</v>
      </c>
      <c r="I14" s="329"/>
      <c r="J14" s="311"/>
      <c r="K14" s="330"/>
      <c r="L14" s="317"/>
      <c r="M14" s="331"/>
    </row>
    <row r="15" spans="1:19">
      <c r="A15" s="314">
        <f>A14+1</f>
        <v>4</v>
      </c>
      <c r="B15" s="611">
        <v>3</v>
      </c>
      <c r="C15" s="315" t="s">
        <v>608</v>
      </c>
      <c r="D15" s="180">
        <v>12</v>
      </c>
      <c r="E15" s="182">
        <v>3</v>
      </c>
      <c r="F15" s="316">
        <v>48.03</v>
      </c>
      <c r="G15" s="328">
        <v>48.03</v>
      </c>
      <c r="H15" s="252">
        <v>0</v>
      </c>
      <c r="I15" s="329"/>
      <c r="J15" s="311"/>
      <c r="K15" s="330"/>
      <c r="L15" s="317"/>
      <c r="M15" s="331"/>
    </row>
    <row r="16" spans="1:19">
      <c r="A16" s="314">
        <f>A15+1</f>
        <v>5</v>
      </c>
      <c r="B16" s="612"/>
      <c r="C16" s="315" t="s">
        <v>609</v>
      </c>
      <c r="D16" s="180">
        <v>14</v>
      </c>
      <c r="E16" s="182">
        <v>1</v>
      </c>
      <c r="F16" s="316">
        <v>30.58</v>
      </c>
      <c r="G16" s="328">
        <v>30.58</v>
      </c>
      <c r="H16" s="252">
        <v>0</v>
      </c>
      <c r="I16" s="329"/>
      <c r="J16" s="311"/>
      <c r="K16" s="330"/>
      <c r="L16" s="317"/>
      <c r="M16" s="331"/>
    </row>
    <row r="17" spans="1:14" ht="51">
      <c r="A17" s="314">
        <f>A16+1</f>
        <v>6</v>
      </c>
      <c r="B17" s="220">
        <v>4</v>
      </c>
      <c r="C17" s="315" t="s">
        <v>610</v>
      </c>
      <c r="D17" s="180">
        <v>6</v>
      </c>
      <c r="E17" s="182">
        <v>3</v>
      </c>
      <c r="F17" s="316">
        <v>56.2</v>
      </c>
      <c r="G17" s="317">
        <v>0</v>
      </c>
      <c r="H17" s="252">
        <v>56.2</v>
      </c>
      <c r="I17" s="329"/>
      <c r="J17" s="311">
        <v>40344</v>
      </c>
      <c r="K17" s="330"/>
      <c r="L17" s="317"/>
      <c r="M17" s="331"/>
    </row>
    <row r="18" spans="1:14" ht="25.9" customHeight="1">
      <c r="A18" s="322"/>
      <c r="B18" s="323"/>
      <c r="C18" s="308" t="s">
        <v>611</v>
      </c>
      <c r="D18" s="324">
        <f>SUM(D19:D30)</f>
        <v>23</v>
      </c>
      <c r="E18" s="324">
        <f>SUM(E19:E30)</f>
        <v>17</v>
      </c>
      <c r="F18" s="324">
        <f>SUM(F19:F30)</f>
        <v>338.77</v>
      </c>
      <c r="G18" s="325">
        <f>SUM(G19:G30)</f>
        <v>71.36</v>
      </c>
      <c r="H18" s="240">
        <f>SUM(H19:H30)</f>
        <v>267.40999999999997</v>
      </c>
      <c r="I18" s="324"/>
      <c r="J18" s="311"/>
      <c r="K18" s="326"/>
      <c r="L18" s="324"/>
      <c r="M18" s="310">
        <f>F18*47000*1.2</f>
        <v>19106628</v>
      </c>
      <c r="N18" s="313">
        <v>416.04</v>
      </c>
    </row>
    <row r="19" spans="1:14">
      <c r="A19" s="314">
        <v>1</v>
      </c>
      <c r="B19" s="220">
        <v>1</v>
      </c>
      <c r="C19" s="192" t="s">
        <v>612</v>
      </c>
      <c r="D19" s="180">
        <v>0</v>
      </c>
      <c r="E19" s="182">
        <v>1</v>
      </c>
      <c r="F19" s="316">
        <v>24.07</v>
      </c>
      <c r="G19" s="317">
        <v>0</v>
      </c>
      <c r="H19" s="252">
        <v>24.07</v>
      </c>
      <c r="I19" s="329"/>
      <c r="J19" s="311">
        <v>43244</v>
      </c>
      <c r="K19" s="330">
        <v>89021218180</v>
      </c>
      <c r="L19" s="317"/>
      <c r="M19" s="331"/>
    </row>
    <row r="20" spans="1:14">
      <c r="A20" s="314">
        <f>A19+1</f>
        <v>2</v>
      </c>
      <c r="B20" s="220">
        <v>2</v>
      </c>
      <c r="C20" s="315" t="s">
        <v>613</v>
      </c>
      <c r="D20" s="180">
        <v>5</v>
      </c>
      <c r="E20" s="182">
        <v>1</v>
      </c>
      <c r="F20" s="316">
        <v>35.479999999999997</v>
      </c>
      <c r="G20" s="328">
        <v>35.479999999999997</v>
      </c>
      <c r="H20" s="252">
        <v>0</v>
      </c>
      <c r="I20" s="329"/>
      <c r="J20" s="311"/>
      <c r="K20" s="330"/>
      <c r="L20" s="317"/>
      <c r="M20" s="331"/>
    </row>
    <row r="21" spans="1:14" ht="25.5">
      <c r="A21" s="314">
        <f t="shared" ref="A21:A30" si="0">A20+1</f>
        <v>3</v>
      </c>
      <c r="B21" s="220">
        <v>3</v>
      </c>
      <c r="C21" s="315" t="s">
        <v>614</v>
      </c>
      <c r="D21" s="180">
        <v>2</v>
      </c>
      <c r="E21" s="182">
        <v>2</v>
      </c>
      <c r="F21" s="316">
        <v>33.19</v>
      </c>
      <c r="G21" s="317">
        <v>0</v>
      </c>
      <c r="H21" s="252">
        <v>33.19</v>
      </c>
      <c r="I21" s="329"/>
      <c r="J21" s="311">
        <v>37573</v>
      </c>
      <c r="K21" s="330" t="s">
        <v>615</v>
      </c>
      <c r="L21" s="317"/>
      <c r="M21" s="331"/>
    </row>
    <row r="22" spans="1:14">
      <c r="A22" s="314">
        <f t="shared" si="0"/>
        <v>4</v>
      </c>
      <c r="B22" s="220">
        <v>4</v>
      </c>
      <c r="C22" s="192" t="s">
        <v>616</v>
      </c>
      <c r="D22" s="180">
        <v>0</v>
      </c>
      <c r="E22" s="182">
        <v>1</v>
      </c>
      <c r="F22" s="316">
        <v>25</v>
      </c>
      <c r="G22" s="317">
        <v>0</v>
      </c>
      <c r="H22" s="252">
        <v>25</v>
      </c>
      <c r="I22" s="329"/>
      <c r="J22" s="311">
        <v>42242</v>
      </c>
      <c r="K22" s="330"/>
      <c r="L22" s="317"/>
      <c r="M22" s="331"/>
    </row>
    <row r="23" spans="1:14" ht="25.5">
      <c r="A23" s="314">
        <f t="shared" si="0"/>
        <v>5</v>
      </c>
      <c r="B23" s="220">
        <v>5</v>
      </c>
      <c r="C23" s="315" t="s">
        <v>617</v>
      </c>
      <c r="D23" s="180">
        <v>2</v>
      </c>
      <c r="E23" s="182">
        <v>2</v>
      </c>
      <c r="F23" s="316">
        <v>34.299999999999997</v>
      </c>
      <c r="G23" s="317">
        <v>0</v>
      </c>
      <c r="H23" s="252">
        <v>34.299999999999997</v>
      </c>
      <c r="I23" s="329"/>
      <c r="J23" s="311" t="s">
        <v>618</v>
      </c>
      <c r="K23" s="330" t="s">
        <v>619</v>
      </c>
      <c r="L23" s="317"/>
      <c r="M23" s="331"/>
    </row>
    <row r="24" spans="1:14" ht="16.899999999999999" customHeight="1">
      <c r="A24" s="314">
        <f t="shared" si="0"/>
        <v>6</v>
      </c>
      <c r="B24" s="611">
        <v>6</v>
      </c>
      <c r="C24" s="315" t="s">
        <v>620</v>
      </c>
      <c r="D24" s="180">
        <v>1</v>
      </c>
      <c r="E24" s="182">
        <v>1</v>
      </c>
      <c r="F24" s="316">
        <v>10.91</v>
      </c>
      <c r="G24" s="317">
        <v>0</v>
      </c>
      <c r="H24" s="252">
        <v>10.91</v>
      </c>
      <c r="I24" s="329"/>
      <c r="J24" s="311">
        <v>38708</v>
      </c>
      <c r="K24" s="330">
        <v>89041845582</v>
      </c>
      <c r="L24" s="317"/>
      <c r="M24" s="331"/>
    </row>
    <row r="25" spans="1:14">
      <c r="A25" s="314">
        <f t="shared" si="0"/>
        <v>7</v>
      </c>
      <c r="B25" s="612"/>
      <c r="C25" s="315" t="s">
        <v>621</v>
      </c>
      <c r="D25" s="180">
        <v>1</v>
      </c>
      <c r="E25" s="182">
        <v>1</v>
      </c>
      <c r="F25" s="316">
        <v>21.9</v>
      </c>
      <c r="G25" s="317">
        <v>0</v>
      </c>
      <c r="H25" s="252">
        <v>21.9</v>
      </c>
      <c r="I25" s="329"/>
      <c r="J25" s="311">
        <v>40822</v>
      </c>
      <c r="K25" s="330"/>
      <c r="L25" s="317"/>
      <c r="M25" s="331"/>
    </row>
    <row r="26" spans="1:14">
      <c r="A26" s="314">
        <f t="shared" si="0"/>
        <v>8</v>
      </c>
      <c r="B26" s="220">
        <v>8</v>
      </c>
      <c r="C26" s="315" t="s">
        <v>622</v>
      </c>
      <c r="D26" s="180">
        <v>2</v>
      </c>
      <c r="E26" s="182">
        <v>2</v>
      </c>
      <c r="F26" s="316">
        <v>35.880000000000003</v>
      </c>
      <c r="G26" s="328">
        <v>35.880000000000003</v>
      </c>
      <c r="H26" s="252">
        <v>0</v>
      </c>
      <c r="I26" s="329"/>
      <c r="J26" s="311"/>
      <c r="K26" s="330">
        <v>89041965175</v>
      </c>
      <c r="L26" s="317"/>
      <c r="M26" s="331"/>
    </row>
    <row r="27" spans="1:14">
      <c r="A27" s="314">
        <f t="shared" si="0"/>
        <v>9</v>
      </c>
      <c r="B27" s="220">
        <v>9</v>
      </c>
      <c r="C27" s="315" t="s">
        <v>623</v>
      </c>
      <c r="D27" s="180">
        <v>1</v>
      </c>
      <c r="E27" s="182">
        <v>1</v>
      </c>
      <c r="F27" s="316">
        <v>24.47</v>
      </c>
      <c r="G27" s="317">
        <v>0</v>
      </c>
      <c r="H27" s="252">
        <v>24.47</v>
      </c>
      <c r="I27" s="329"/>
      <c r="J27" s="311">
        <v>41027</v>
      </c>
      <c r="K27" s="330" t="s">
        <v>624</v>
      </c>
      <c r="L27" s="317"/>
      <c r="M27" s="331"/>
    </row>
    <row r="28" spans="1:14">
      <c r="A28" s="314">
        <f t="shared" si="0"/>
        <v>10</v>
      </c>
      <c r="B28" s="220">
        <v>10</v>
      </c>
      <c r="C28" s="315" t="s">
        <v>625</v>
      </c>
      <c r="D28" s="180">
        <v>1</v>
      </c>
      <c r="E28" s="182">
        <v>2</v>
      </c>
      <c r="F28" s="316">
        <v>34.26</v>
      </c>
      <c r="G28" s="317">
        <v>0</v>
      </c>
      <c r="H28" s="252">
        <v>34.26</v>
      </c>
      <c r="I28" s="329"/>
      <c r="J28" s="311">
        <v>39552</v>
      </c>
      <c r="K28" s="330" t="s">
        <v>626</v>
      </c>
      <c r="L28" s="317"/>
      <c r="M28" s="331"/>
    </row>
    <row r="29" spans="1:14">
      <c r="A29" s="314">
        <f t="shared" si="0"/>
        <v>11</v>
      </c>
      <c r="B29" s="220">
        <v>11</v>
      </c>
      <c r="C29" s="315" t="s">
        <v>612</v>
      </c>
      <c r="D29" s="180">
        <v>3</v>
      </c>
      <c r="E29" s="182">
        <v>2</v>
      </c>
      <c r="F29" s="316">
        <v>35</v>
      </c>
      <c r="G29" s="317">
        <v>0</v>
      </c>
      <c r="H29" s="252">
        <v>35</v>
      </c>
      <c r="I29" s="329"/>
      <c r="J29" s="311">
        <v>41817</v>
      </c>
      <c r="K29" s="330" t="s">
        <v>627</v>
      </c>
      <c r="L29" s="317"/>
      <c r="M29" s="331"/>
    </row>
    <row r="30" spans="1:14" ht="25.5">
      <c r="A30" s="314">
        <f t="shared" si="0"/>
        <v>12</v>
      </c>
      <c r="B30" s="220">
        <v>12</v>
      </c>
      <c r="C30" s="315" t="s">
        <v>628</v>
      </c>
      <c r="D30" s="180">
        <v>5</v>
      </c>
      <c r="E30" s="182">
        <v>1</v>
      </c>
      <c r="F30" s="316">
        <v>24.31</v>
      </c>
      <c r="G30" s="317">
        <v>0</v>
      </c>
      <c r="H30" s="252">
        <v>24.31</v>
      </c>
      <c r="I30" s="329"/>
      <c r="J30" s="311">
        <v>39016</v>
      </c>
      <c r="K30" s="330" t="s">
        <v>629</v>
      </c>
      <c r="L30" s="317"/>
      <c r="M30" s="331"/>
    </row>
    <row r="31" spans="1:14">
      <c r="A31" s="332">
        <f>A30+A17+A10</f>
        <v>22</v>
      </c>
      <c r="B31" s="333"/>
      <c r="C31" s="231" t="s">
        <v>630</v>
      </c>
      <c r="D31" s="333">
        <f>D18+D11+D6</f>
        <v>77</v>
      </c>
      <c r="E31" s="333">
        <f>E18+E11+E6</f>
        <v>33</v>
      </c>
      <c r="F31" s="333">
        <f>F18+F11+F6</f>
        <v>714.83999999999992</v>
      </c>
      <c r="G31" s="333">
        <f>G18+G11+G6</f>
        <v>284.29000000000002</v>
      </c>
      <c r="H31" s="180">
        <f>H18+H11+H6</f>
        <v>430.54999999999995</v>
      </c>
      <c r="I31" s="247"/>
      <c r="J31" s="311"/>
      <c r="K31" s="334"/>
      <c r="L31" s="247"/>
      <c r="M31" s="310">
        <f>F31*47000*1.2</f>
        <v>40316975.999999993</v>
      </c>
      <c r="N31" s="313">
        <v>1379.05</v>
      </c>
    </row>
    <row r="32" spans="1:14">
      <c r="A32" s="314"/>
      <c r="B32" s="335"/>
      <c r="C32" s="315"/>
      <c r="D32" s="180"/>
      <c r="E32" s="182"/>
      <c r="F32" s="316"/>
      <c r="G32" s="317"/>
      <c r="H32" s="252"/>
      <c r="I32" s="329"/>
      <c r="J32" s="329"/>
      <c r="K32" s="329"/>
      <c r="L32" s="329"/>
      <c r="M32" s="331"/>
    </row>
    <row r="33" spans="1:13">
      <c r="A33" s="613" t="s">
        <v>631</v>
      </c>
      <c r="B33" s="614"/>
      <c r="C33" s="614"/>
      <c r="D33" s="614"/>
      <c r="E33" s="614"/>
      <c r="F33" s="614"/>
      <c r="G33" s="614"/>
      <c r="H33" s="614"/>
      <c r="I33" s="614"/>
      <c r="J33" s="614"/>
      <c r="K33" s="614"/>
      <c r="L33" s="614"/>
      <c r="M33" s="615"/>
    </row>
    <row r="34" spans="1:13">
      <c r="A34" s="616"/>
      <c r="B34" s="617"/>
      <c r="C34" s="617"/>
      <c r="D34" s="617"/>
      <c r="E34" s="617"/>
      <c r="F34" s="617"/>
      <c r="G34" s="617"/>
      <c r="H34" s="617"/>
      <c r="I34" s="617"/>
      <c r="J34" s="617"/>
      <c r="K34" s="617"/>
      <c r="L34" s="617"/>
      <c r="M34" s="618"/>
    </row>
    <row r="35" spans="1:13">
      <c r="A35" s="616"/>
      <c r="B35" s="617"/>
      <c r="C35" s="617"/>
      <c r="D35" s="617"/>
      <c r="E35" s="617"/>
      <c r="F35" s="617"/>
      <c r="G35" s="617"/>
      <c r="H35" s="617"/>
      <c r="I35" s="617"/>
      <c r="J35" s="617"/>
      <c r="K35" s="617"/>
      <c r="L35" s="617"/>
      <c r="M35" s="618"/>
    </row>
    <row r="36" spans="1:13">
      <c r="A36" s="619"/>
      <c r="B36" s="620"/>
      <c r="C36" s="620"/>
      <c r="D36" s="620"/>
      <c r="E36" s="620"/>
      <c r="F36" s="620"/>
      <c r="G36" s="620"/>
      <c r="H36" s="620"/>
      <c r="I36" s="620"/>
      <c r="J36" s="620"/>
      <c r="K36" s="620"/>
      <c r="L36" s="620"/>
      <c r="M36" s="621"/>
    </row>
    <row r="37" spans="1:13">
      <c r="A37" s="336"/>
      <c r="B37" s="336"/>
      <c r="C37" s="336"/>
      <c r="D37" s="336"/>
      <c r="E37" s="336"/>
      <c r="F37" s="336"/>
      <c r="G37" s="336"/>
      <c r="H37" s="337"/>
      <c r="I37" s="336"/>
      <c r="J37" s="336"/>
      <c r="K37" s="336"/>
      <c r="L37" s="336"/>
      <c r="M37" s="336"/>
    </row>
    <row r="39" spans="1:13">
      <c r="A39" s="504" t="s">
        <v>563</v>
      </c>
      <c r="B39" s="504"/>
      <c r="C39" s="504"/>
    </row>
    <row r="42" spans="1:13">
      <c r="D42" t="s">
        <v>632</v>
      </c>
      <c r="E42" t="s">
        <v>633</v>
      </c>
      <c r="F42" t="s">
        <v>634</v>
      </c>
    </row>
    <row r="43" spans="1:13">
      <c r="C43" t="s">
        <v>572</v>
      </c>
      <c r="D43" s="338">
        <f>D8+D10+D19+D22</f>
        <v>5</v>
      </c>
      <c r="E43">
        <v>4</v>
      </c>
      <c r="F43" s="338">
        <f>F8+F10+F19+F22</f>
        <v>104.12</v>
      </c>
    </row>
  </sheetData>
  <mergeCells count="14">
    <mergeCell ref="A39:C39"/>
    <mergeCell ref="B12:B13"/>
    <mergeCell ref="B15:B16"/>
    <mergeCell ref="B24:B25"/>
    <mergeCell ref="A33:M36"/>
    <mergeCell ref="A1:M1"/>
    <mergeCell ref="A2:M2"/>
    <mergeCell ref="D4:D5"/>
    <mergeCell ref="E4:E5"/>
    <mergeCell ref="F4:F5"/>
    <mergeCell ref="G4:G5"/>
    <mergeCell ref="H4:H5"/>
    <mergeCell ref="I4:L4"/>
    <mergeCell ref="M4:M5"/>
  </mergeCells>
  <phoneticPr fontId="63" type="noConversion"/>
  <pageMargins left="0.70866141732283472" right="0.11811023622047245" top="0" bottom="0" header="0.31496062992125984" footer="0.31496062992125984"/>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11</vt:i4>
      </vt:variant>
    </vt:vector>
  </HeadingPairs>
  <TitlesOfParts>
    <vt:vector size="30" baseType="lpstr">
      <vt:lpstr>приложение 2</vt:lpstr>
      <vt:lpstr>приложение 3</vt:lpstr>
      <vt:lpstr>приложение 4</vt:lpstr>
      <vt:lpstr>приложение 5</vt:lpstr>
      <vt:lpstr>приложение 6</vt:lpstr>
      <vt:lpstr>ДИМИТРОВград</vt:lpstr>
      <vt:lpstr>ДИМИТРОВград (2)</vt:lpstr>
      <vt:lpstr>КОНТРАКТЫ</vt:lpstr>
      <vt:lpstr>2023</vt:lpstr>
      <vt:lpstr>2022</vt:lpstr>
      <vt:lpstr>2021 </vt:lpstr>
      <vt:lpstr>2021 выкуп</vt:lpstr>
      <vt:lpstr>2021 расчетная</vt:lpstr>
      <vt:lpstr>оценка</vt:lpstr>
      <vt:lpstr>выкуп по бюджетам</vt:lpstr>
      <vt:lpstr>Планирование расходов</vt:lpstr>
      <vt:lpstr>26-27</vt:lpstr>
      <vt:lpstr>Лист1</vt:lpstr>
      <vt:lpstr>Лист2</vt:lpstr>
      <vt:lpstr>'2021 '!Заголовки_для_печати</vt:lpstr>
      <vt:lpstr>'2021 выкуп'!Заголовки_для_печати</vt:lpstr>
      <vt:lpstr>'2021 расчетная'!Заголовки_для_печати</vt:lpstr>
      <vt:lpstr>'2022'!Заголовки_для_печати</vt:lpstr>
      <vt:lpstr>ДИМИТРОВград!Заголовки_для_печати</vt:lpstr>
      <vt:lpstr>'ДИМИТРОВград (2)'!Заголовки_для_печати</vt:lpstr>
      <vt:lpstr>'приложение 4'!Заголовки_для_печати</vt:lpstr>
      <vt:lpstr>'приложение 5'!Заголовки_для_печати</vt:lpstr>
      <vt:lpstr>'приложение 6'!Заголовки_для_печати</vt:lpstr>
      <vt:lpstr>ДИМИТРОВград!Область_печати</vt:lpstr>
      <vt:lpstr>'ДИМИТРОВград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Махмутова</dc:creator>
  <cp:lastModifiedBy>КУИГ</cp:lastModifiedBy>
  <cp:lastPrinted>2022-09-02T11:00:46Z</cp:lastPrinted>
  <dcterms:created xsi:type="dcterms:W3CDTF">2021-07-19T10:25:06Z</dcterms:created>
  <dcterms:modified xsi:type="dcterms:W3CDTF">2022-09-22T07:02:19Z</dcterms:modified>
</cp:coreProperties>
</file>