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2" sheetId="1" r:id="rId1"/>
    <sheet name="Лист3" sheetId="2" r:id="rId2"/>
  </sheets>
  <definedNames>
    <definedName name="_xlnm.Print_Titles" localSheetId="0">'Лист2'!$15:$19</definedName>
    <definedName name="_xlnm.Print_Area" localSheetId="0">'Лист2'!$A$1:$AC$66</definedName>
  </definedNames>
  <calcPr fullCalcOnLoad="1"/>
</workbook>
</file>

<file path=xl/sharedStrings.xml><?xml version="1.0" encoding="utf-8"?>
<sst xmlns="http://schemas.openxmlformats.org/spreadsheetml/2006/main" count="160" uniqueCount="125">
  <si>
    <t>№ п/п</t>
  </si>
  <si>
    <t>Наименование мероприятий</t>
  </si>
  <si>
    <t>Ответственный исполнитель</t>
  </si>
  <si>
    <t>по годам (тыс. руб.)</t>
  </si>
  <si>
    <t>Итого:</t>
  </si>
  <si>
    <t>1.1.</t>
  </si>
  <si>
    <t>1.2.</t>
  </si>
  <si>
    <t>1.3.</t>
  </si>
  <si>
    <t>2.1.</t>
  </si>
  <si>
    <t>2.2.</t>
  </si>
  <si>
    <t>3.1.</t>
  </si>
  <si>
    <t>МКУ «УГЗ» (по согласованию)</t>
  </si>
  <si>
    <t>Создание и оснащение учебно-консультационных пунктов в  городе</t>
  </si>
  <si>
    <t>1.</t>
  </si>
  <si>
    <t>Грамота, благодарственные письма (формат А4)</t>
  </si>
  <si>
    <t>шт.</t>
  </si>
  <si>
    <t>2.</t>
  </si>
  <si>
    <t>Призы (Кубок)</t>
  </si>
  <si>
    <t>3.</t>
  </si>
  <si>
    <t xml:space="preserve">Изготовление плакатов </t>
  </si>
  <si>
    <t>4.</t>
  </si>
  <si>
    <t>Изготовление настенных календарей</t>
  </si>
  <si>
    <t>5.</t>
  </si>
  <si>
    <t>Изготовление брошур-памяток</t>
  </si>
  <si>
    <t>6.</t>
  </si>
  <si>
    <t>Изготовление и установка баннера (3х6 м.)</t>
  </si>
  <si>
    <t>7.</t>
  </si>
  <si>
    <t>Аренда щита для размещения баннера</t>
  </si>
  <si>
    <t>8.</t>
  </si>
  <si>
    <t>Футболки с логотипом для волонтеров</t>
  </si>
  <si>
    <t xml:space="preserve">1 – антинаркотическая тематика, 1 – антитеррористическая тематика </t>
  </si>
  <si>
    <t>4.4.</t>
  </si>
  <si>
    <t>4.2.</t>
  </si>
  <si>
    <t>4.1.</t>
  </si>
  <si>
    <t>Инженерно-технические средства охраны</t>
  </si>
  <si>
    <t>Ед. изм.</t>
  </si>
  <si>
    <t>Кол-во</t>
  </si>
  <si>
    <t>Стоимость (проект, приобрет., установка)</t>
  </si>
  <si>
    <t>тыс.руб</t>
  </si>
  <si>
    <t>Сумма</t>
  </si>
  <si>
    <t>тыс. руб.</t>
  </si>
  <si>
    <t xml:space="preserve">Примечание </t>
  </si>
  <si>
    <t>Портативное заграждение проезда автотранспорта</t>
  </si>
  <si>
    <t>gkshield-security.ru/catalog/item/лиана-12000-copy</t>
  </si>
  <si>
    <t>Мобильное ограждение во время проведения публичных и массовых мероприятий</t>
  </si>
  <si>
    <t>ograd.org/catalog/barernye/mobilnye_1/;</t>
  </si>
  <si>
    <t>http://www.ekodorsnab.ru/magazin/product/mobilnoe-fan-ogragdenie-tolpa-2500/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</si>
  <si>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МАУК ЦКиД «Восход»</t>
  </si>
  <si>
    <t>Источник финансового обеспечения, тыс.руб.</t>
  </si>
  <si>
    <t xml:space="preserve">Бюджетные ассигнования бюджета города </t>
  </si>
  <si>
    <t>Финансовое обеспечение всего:</t>
  </si>
  <si>
    <t xml:space="preserve">Бюджетные ассигнования 
областного бюджета**
</t>
  </si>
  <si>
    <t xml:space="preserve">Бюджетные ассигнования федерального бюджета **
</t>
  </si>
  <si>
    <t>ИТОГО:</t>
  </si>
  <si>
    <t>Предоставление субсидий из бюджета города  на финансовое обеспечение выполнения муниципального задания, на оказание муниципальных услуг МБУК «ДДТ им. А.Н.Островского»</t>
  </si>
  <si>
    <t>ЦКиД «Восход»*</t>
  </si>
  <si>
    <t>ДДТ*</t>
  </si>
  <si>
    <t>1.3.2</t>
  </si>
  <si>
    <t>1.3.3</t>
  </si>
  <si>
    <t>Предоставление субсидий на иные цели  (укрепление материально-технической базы)</t>
  </si>
  <si>
    <t>1.3.4</t>
  </si>
  <si>
    <t>Предоставление субсидий на иные цели (реконструкция и проведение ремонтно-реставрационных работ здания)</t>
  </si>
  <si>
    <t>Предоставление субсидий на иные цели (молодые специалисты)</t>
  </si>
  <si>
    <t>1. Подпрограмма «Организация культурного досуга населения города Димитровграда Ульяновской области»</t>
  </si>
  <si>
    <t>2. Подпрограмма «Развитие системы дополнительного образования сферы культуры в городе Димитровграде Ульяновской области»</t>
  </si>
  <si>
    <t>МБУ ДО ДШИ №1*</t>
  </si>
  <si>
    <t>МБУ ДО ДШИ №2*</t>
  </si>
  <si>
    <t>МБУ ДО ДХШ*</t>
  </si>
  <si>
    <t>2.2.1</t>
  </si>
  <si>
    <t>2.2.2</t>
  </si>
  <si>
    <t>Предоставление субсидий на иные цели (погашение кредиторской задолженности по аренде)</t>
  </si>
  <si>
    <t>3. Подпрограмма «Сохранение культурного и исторического наследия»</t>
  </si>
  <si>
    <t>МБУК «ЦБС»*</t>
  </si>
  <si>
    <t>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</t>
  </si>
  <si>
    <t>А.1</t>
  </si>
  <si>
    <t>Создание модельных муниципальных библиотек</t>
  </si>
  <si>
    <t>4. Подпрограмма «Обеспечение реализации муниципальной программы»</t>
  </si>
  <si>
    <t>Обеспечение деятельности Управления по делам культуры и искусства</t>
  </si>
  <si>
    <t>УК</t>
  </si>
  <si>
    <t>Обеспечение деятельности учреждений культуры</t>
  </si>
  <si>
    <t>МКУ «СТО»*</t>
  </si>
  <si>
    <t>Итого по подпрограмме:</t>
  </si>
  <si>
    <t>ВСЕГО:</t>
  </si>
  <si>
    <t xml:space="preserve">________________________
</t>
  </si>
  <si>
    <t>Предоставление субсидий на иные цели  (оснащение оборудованием учреждений культуры)</t>
  </si>
  <si>
    <t>1.3.1</t>
  </si>
  <si>
    <t xml:space="preserve">
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
</t>
  </si>
  <si>
    <t>Предоставление субсидий на иные цели (приобретение музыкальных инструментов, оборудования и материалов для детских школ искусств)</t>
  </si>
  <si>
    <t>МБУК «ДКМ»*</t>
  </si>
  <si>
    <t>2.2.3</t>
  </si>
  <si>
    <t>Предоставление субсидий на иные цели (погашение кредиторской задолженности )</t>
  </si>
  <si>
    <t>Предоставление субсидий на иные цели (погашение кредиторской задолженности)</t>
  </si>
  <si>
    <t>1.3.5</t>
  </si>
  <si>
    <t>3.2.</t>
  </si>
  <si>
    <t>3.2.1</t>
  </si>
  <si>
    <t>4.3.</t>
  </si>
  <si>
    <t>Погашение кредиторской задолженности</t>
  </si>
  <si>
    <t>2.2.4</t>
  </si>
  <si>
    <t>3.2.2</t>
  </si>
  <si>
    <t>Приобретение специального оборудования для муниципальных музеев</t>
  </si>
  <si>
    <t>к муниципальной программе</t>
  </si>
  <si>
    <t>5. Подпрограмма «Сохранение архивных фондов и архивных документов»</t>
  </si>
  <si>
    <t>МКУ "ДГА"*</t>
  </si>
  <si>
    <t>5.1.</t>
  </si>
  <si>
    <t>Сохранение архивных фондов и архивных документов</t>
  </si>
  <si>
    <t>Предоставление субсидий на иные цели (комплектование книжных фондов)</t>
  </si>
  <si>
    <t xml:space="preserve">*- участвуют в реализации мероприятий муниципальной программы по согласованию.                                                                                                                                                                                                                                                                                           **- средства федерального и областного бюджетов указываются в виде межбюджетных трансфертов, возможных к получению на реализацию мероприятий муниципальной программы.                                                                                                                        ***-  необходимый объем софинансирования мероприятий из бюджета города, возможный к получению на реализацию муниципальной программы.                                                                                                                          ». </t>
  </si>
  <si>
    <t>Предоставление субсидий на иные цели (экспертиза здания технического состояния)</t>
  </si>
  <si>
    <t>к постановлению Администрации города</t>
  </si>
  <si>
    <t xml:space="preserve">от ________________ №______________  </t>
  </si>
  <si>
    <t>ЦКиД «Восход»*, ДДТ*</t>
  </si>
  <si>
    <t>Предоставление субсидий на иные цели, в том числе (всего):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</si>
  <si>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, в том числе:</t>
  </si>
  <si>
    <t>МБУ ДО ДШИ №1*, МБУ ДО ДШИ №2*, МБУ ДО ДХШ*, ДХШ "Апрель"*</t>
  </si>
  <si>
    <t>Предоставление субсидий на иные цели (молодые специалисты), в том числе:</t>
  </si>
  <si>
    <t>МБУ ДО ДШИ №1*, МБУ ДО ДШИ №2*, ДХШ "Апрель"*</t>
  </si>
  <si>
    <t>Предоставление субсидий на иные цели (погашение кредиторской задолженности ), в том числе:</t>
  </si>
  <si>
    <t>Предоставление субсидий на иные цели (всего), в том числе:</t>
  </si>
  <si>
    <t>МБУК «ДКМ»*, МБУК «ЦБС»*, МБУК «ЦСИиД»*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</si>
  <si>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услуг, в том числе:</t>
  </si>
  <si>
    <t>Система программных мероприятий в 2021-2022 годах</t>
  </si>
  <si>
    <t>УК, МКУ "СТО"*</t>
  </si>
  <si>
    <t>«Развитие культуры города Димитровграда Ульяновской области»</t>
  </si>
  <si>
    <t>ПРИЛОЖЕНИЕ №2</t>
  </si>
  <si>
    <t>«ПРИЛОЖЕНИЕ № 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</si>
</sst>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0.00000"/>
    <numFmt numFmtId="183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83" fontId="13" fillId="0" borderId="17" xfId="0" applyNumberFormat="1" applyFont="1" applyFill="1" applyBorder="1" applyAlignment="1">
      <alignment horizontal="center" vertical="center" textRotation="90" wrapText="1"/>
    </xf>
    <xf numFmtId="183" fontId="17" fillId="33" borderId="17" xfId="0" applyNumberFormat="1" applyFont="1" applyFill="1" applyBorder="1" applyAlignment="1">
      <alignment horizontal="center" vertical="center" textRotation="90" wrapText="1"/>
    </xf>
    <xf numFmtId="183" fontId="18" fillId="0" borderId="17" xfId="0" applyNumberFormat="1" applyFont="1" applyFill="1" applyBorder="1" applyAlignment="1">
      <alignment horizontal="center" vertical="center" textRotation="90" wrapText="1"/>
    </xf>
    <xf numFmtId="183" fontId="17" fillId="0" borderId="17" xfId="0" applyNumberFormat="1" applyFont="1" applyFill="1" applyBorder="1" applyAlignment="1">
      <alignment horizontal="center" vertical="center" textRotation="90" wrapText="1"/>
    </xf>
    <xf numFmtId="183" fontId="19" fillId="0" borderId="17" xfId="0" applyNumberFormat="1" applyFont="1" applyFill="1" applyBorder="1" applyAlignment="1">
      <alignment horizontal="center" vertical="center" textRotation="90" wrapText="1"/>
    </xf>
    <xf numFmtId="183" fontId="18" fillId="33" borderId="17" xfId="0" applyNumberFormat="1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83" fontId="53" fillId="0" borderId="0" xfId="0" applyNumberFormat="1" applyFont="1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3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182" fontId="18" fillId="0" borderId="0" xfId="0" applyNumberFormat="1" applyFont="1" applyFill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view="pageBreakPreview" zoomScale="50" zoomScaleSheetLayoutView="50" zoomScalePageLayoutView="0" workbookViewId="0" topLeftCell="A1">
      <pane ySplit="18" topLeftCell="A46" activePane="bottomLeft" state="frozen"/>
      <selection pane="topLeft" activeCell="E1" sqref="E1"/>
      <selection pane="bottomLeft" activeCell="L12" sqref="L12"/>
    </sheetView>
  </sheetViews>
  <sheetFormatPr defaultColWidth="9.140625" defaultRowHeight="15"/>
  <cols>
    <col min="1" max="1" width="8.28125" style="2" customWidth="1"/>
    <col min="2" max="2" width="37.57421875" style="2" customWidth="1"/>
    <col min="3" max="3" width="36.00390625" style="2" customWidth="1"/>
    <col min="4" max="4" width="27.28125" style="20" customWidth="1"/>
    <col min="5" max="5" width="16.421875" style="16" customWidth="1"/>
    <col min="6" max="6" width="15.57421875" style="18" customWidth="1"/>
    <col min="7" max="8" width="10.7109375" style="2" hidden="1" customWidth="1"/>
    <col min="9" max="9" width="10.7109375" style="16" hidden="1" customWidth="1"/>
    <col min="10" max="10" width="10.7109375" style="2" hidden="1" customWidth="1"/>
    <col min="11" max="11" width="24.8515625" style="20" customWidth="1"/>
    <col min="12" max="12" width="15.00390625" style="16" customWidth="1"/>
    <col min="13" max="13" width="15.8515625" style="18" customWidth="1"/>
    <col min="14" max="15" width="10.7109375" style="2" hidden="1" customWidth="1"/>
    <col min="16" max="16" width="10.7109375" style="16" hidden="1" customWidth="1"/>
    <col min="17" max="17" width="10.7109375" style="2" hidden="1" customWidth="1"/>
    <col min="18" max="18" width="25.421875" style="20" customWidth="1"/>
    <col min="19" max="19" width="15.57421875" style="16" customWidth="1"/>
    <col min="20" max="20" width="15.28125" style="18" customWidth="1"/>
    <col min="21" max="22" width="10.7109375" style="2" hidden="1" customWidth="1"/>
    <col min="23" max="23" width="10.7109375" style="16" hidden="1" customWidth="1"/>
    <col min="24" max="24" width="10.7109375" style="2" hidden="1" customWidth="1"/>
    <col min="25" max="25" width="25.57421875" style="20" customWidth="1"/>
    <col min="26" max="26" width="15.8515625" style="16" customWidth="1"/>
    <col min="27" max="27" width="18.7109375" style="18" customWidth="1"/>
    <col min="28" max="29" width="10.7109375" style="2" hidden="1" customWidth="1"/>
    <col min="30" max="30" width="10.7109375" style="16" hidden="1" customWidth="1"/>
    <col min="31" max="31" width="10.7109375" style="2" hidden="1" customWidth="1"/>
    <col min="32" max="32" width="22.7109375" style="46" bestFit="1" customWidth="1"/>
  </cols>
  <sheetData>
    <row r="1" spans="25:31" ht="23.25">
      <c r="Y1" s="50" t="s">
        <v>123</v>
      </c>
      <c r="Z1" s="50"/>
      <c r="AA1" s="50"/>
      <c r="AB1" s="50"/>
      <c r="AC1" s="50"/>
      <c r="AD1" s="50"/>
      <c r="AE1" s="50"/>
    </row>
    <row r="2" spans="25:31" ht="23.25">
      <c r="Y2" s="50" t="s">
        <v>108</v>
      </c>
      <c r="Z2" s="50"/>
      <c r="AA2" s="50"/>
      <c r="AB2" s="50"/>
      <c r="AC2" s="50"/>
      <c r="AD2" s="50"/>
      <c r="AE2" s="50"/>
    </row>
    <row r="3" spans="25:31" ht="23.25">
      <c r="Y3" s="50" t="s">
        <v>109</v>
      </c>
      <c r="Z3" s="50"/>
      <c r="AA3" s="50"/>
      <c r="AB3" s="50"/>
      <c r="AC3" s="50"/>
      <c r="AD3" s="50"/>
      <c r="AE3" s="50"/>
    </row>
    <row r="5" spans="25:31" ht="23.25">
      <c r="Y5" s="50" t="s">
        <v>124</v>
      </c>
      <c r="Z5" s="50"/>
      <c r="AA5" s="50"/>
      <c r="AB5" s="50"/>
      <c r="AC5" s="50"/>
      <c r="AD5" s="50"/>
      <c r="AE5" s="50"/>
    </row>
    <row r="6" spans="25:31" ht="23.25">
      <c r="Y6" s="50" t="s">
        <v>100</v>
      </c>
      <c r="Z6" s="50"/>
      <c r="AA6" s="50"/>
      <c r="AB6" s="50"/>
      <c r="AC6" s="50"/>
      <c r="AD6" s="50"/>
      <c r="AE6" s="50"/>
    </row>
    <row r="7" spans="25:31" ht="45.75" customHeight="1">
      <c r="Y7" s="60" t="s">
        <v>122</v>
      </c>
      <c r="Z7" s="60"/>
      <c r="AA7" s="60"/>
      <c r="AB7" s="60"/>
      <c r="AC7" s="60"/>
      <c r="AD7" s="60"/>
      <c r="AE7" s="60"/>
    </row>
    <row r="8" spans="25:31" ht="23.25">
      <c r="Y8" s="50"/>
      <c r="Z8" s="50"/>
      <c r="AA8" s="50"/>
      <c r="AB8" s="50"/>
      <c r="AC8" s="50"/>
      <c r="AD8" s="50"/>
      <c r="AE8" s="50"/>
    </row>
    <row r="9" spans="25:31" ht="21" hidden="1">
      <c r="Y9" s="62"/>
      <c r="Z9" s="62"/>
      <c r="AA9" s="62"/>
      <c r="AB9" s="62"/>
      <c r="AC9" s="62"/>
      <c r="AD9" s="62"/>
      <c r="AE9" s="62"/>
    </row>
    <row r="10" spans="25:31" ht="21" hidden="1">
      <c r="Y10" s="62"/>
      <c r="Z10" s="62"/>
      <c r="AA10" s="62"/>
      <c r="AB10" s="62"/>
      <c r="AC10" s="62"/>
      <c r="AD10" s="62"/>
      <c r="AE10" s="62"/>
    </row>
    <row r="11" spans="1:31" ht="21" hidden="1">
      <c r="A11" s="24"/>
      <c r="B11" s="24"/>
      <c r="C11" s="24"/>
      <c r="D11" s="25"/>
      <c r="E11" s="26"/>
      <c r="F11" s="27"/>
      <c r="G11" s="24"/>
      <c r="H11" s="24"/>
      <c r="I11" s="26"/>
      <c r="J11" s="24"/>
      <c r="K11" s="25"/>
      <c r="L11" s="26"/>
      <c r="M11" s="27"/>
      <c r="N11" s="24"/>
      <c r="O11" s="24"/>
      <c r="P11" s="26"/>
      <c r="Q11" s="24"/>
      <c r="R11" s="25"/>
      <c r="S11" s="26"/>
      <c r="T11" s="27"/>
      <c r="U11" s="24"/>
      <c r="V11" s="24"/>
      <c r="W11" s="26"/>
      <c r="X11" s="24"/>
      <c r="Y11" s="63"/>
      <c r="Z11" s="63"/>
      <c r="AA11" s="63"/>
      <c r="AB11" s="63"/>
      <c r="AC11" s="63"/>
      <c r="AD11" s="63"/>
      <c r="AE11" s="63"/>
    </row>
    <row r="12" spans="1:31" ht="21">
      <c r="A12" s="24"/>
      <c r="B12" s="24"/>
      <c r="C12" s="24"/>
      <c r="D12" s="25"/>
      <c r="E12" s="26"/>
      <c r="F12" s="27"/>
      <c r="G12" s="24"/>
      <c r="H12" s="24"/>
      <c r="I12" s="26"/>
      <c r="J12" s="24"/>
      <c r="K12" s="25"/>
      <c r="L12" s="26"/>
      <c r="M12" s="27"/>
      <c r="N12" s="24"/>
      <c r="O12" s="24"/>
      <c r="P12" s="26"/>
      <c r="Q12" s="24"/>
      <c r="R12" s="25"/>
      <c r="S12" s="26"/>
      <c r="T12" s="27"/>
      <c r="U12" s="24"/>
      <c r="V12" s="24"/>
      <c r="W12" s="26"/>
      <c r="X12" s="24"/>
      <c r="Y12" s="25"/>
      <c r="Z12" s="26"/>
      <c r="AA12" s="27"/>
      <c r="AB12" s="24"/>
      <c r="AC12" s="24"/>
      <c r="AD12" s="26"/>
      <c r="AE12" s="24"/>
    </row>
    <row r="13" spans="1:31" ht="22.5">
      <c r="A13" s="61" t="s">
        <v>120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1" ht="2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30.75" customHeight="1">
      <c r="A15" s="59" t="s">
        <v>0</v>
      </c>
      <c r="B15" s="59" t="s">
        <v>1</v>
      </c>
      <c r="C15" s="59" t="s">
        <v>2</v>
      </c>
      <c r="D15" s="56" t="s">
        <v>48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8"/>
      <c r="Y15" s="59" t="s">
        <v>53</v>
      </c>
      <c r="Z15" s="59"/>
      <c r="AA15" s="59"/>
      <c r="AB15" s="59"/>
      <c r="AC15" s="59"/>
      <c r="AD15" s="59"/>
      <c r="AE15" s="59"/>
    </row>
    <row r="16" spans="1:31" ht="72.75" customHeight="1">
      <c r="A16" s="59"/>
      <c r="B16" s="59"/>
      <c r="C16" s="59"/>
      <c r="D16" s="56" t="s">
        <v>49</v>
      </c>
      <c r="E16" s="57"/>
      <c r="F16" s="57"/>
      <c r="G16" s="57"/>
      <c r="H16" s="57"/>
      <c r="I16" s="57"/>
      <c r="J16" s="58"/>
      <c r="K16" s="56" t="s">
        <v>51</v>
      </c>
      <c r="L16" s="57"/>
      <c r="M16" s="57"/>
      <c r="N16" s="57"/>
      <c r="O16" s="57"/>
      <c r="P16" s="57"/>
      <c r="Q16" s="58"/>
      <c r="R16" s="56" t="s">
        <v>52</v>
      </c>
      <c r="S16" s="57"/>
      <c r="T16" s="57"/>
      <c r="U16" s="57"/>
      <c r="V16" s="57"/>
      <c r="W16" s="57"/>
      <c r="X16" s="58"/>
      <c r="Y16" s="56"/>
      <c r="Z16" s="57"/>
      <c r="AA16" s="57"/>
      <c r="AB16" s="57"/>
      <c r="AC16" s="57"/>
      <c r="AD16" s="57"/>
      <c r="AE16" s="58"/>
    </row>
    <row r="17" spans="1:31" ht="15.75" customHeight="1" hidden="1">
      <c r="A17" s="59"/>
      <c r="B17" s="59"/>
      <c r="C17" s="59"/>
      <c r="D17" s="59" t="s">
        <v>50</v>
      </c>
      <c r="E17" s="59" t="s">
        <v>3</v>
      </c>
      <c r="F17" s="59"/>
      <c r="G17" s="59"/>
      <c r="H17" s="59"/>
      <c r="I17" s="59"/>
      <c r="J17" s="59"/>
      <c r="K17" s="59" t="s">
        <v>50</v>
      </c>
      <c r="L17" s="59" t="s">
        <v>3</v>
      </c>
      <c r="M17" s="59"/>
      <c r="N17" s="59"/>
      <c r="O17" s="59"/>
      <c r="P17" s="59"/>
      <c r="Q17" s="59"/>
      <c r="R17" s="59" t="s">
        <v>50</v>
      </c>
      <c r="S17" s="59" t="s">
        <v>3</v>
      </c>
      <c r="T17" s="59"/>
      <c r="U17" s="59"/>
      <c r="V17" s="59"/>
      <c r="W17" s="59"/>
      <c r="X17" s="59"/>
      <c r="Y17" s="59" t="s">
        <v>50</v>
      </c>
      <c r="Z17" s="59" t="s">
        <v>3</v>
      </c>
      <c r="AA17" s="59"/>
      <c r="AB17" s="59"/>
      <c r="AC17" s="59"/>
      <c r="AD17" s="59"/>
      <c r="AE17" s="59"/>
    </row>
    <row r="18" spans="1:31" ht="193.5" customHeight="1">
      <c r="A18" s="59"/>
      <c r="B18" s="59"/>
      <c r="C18" s="59"/>
      <c r="D18" s="59"/>
      <c r="E18" s="34">
        <v>2021</v>
      </c>
      <c r="F18" s="35">
        <v>2022</v>
      </c>
      <c r="G18" s="23">
        <v>2023</v>
      </c>
      <c r="H18" s="23">
        <v>2024</v>
      </c>
      <c r="I18" s="34">
        <v>2020</v>
      </c>
      <c r="J18" s="23">
        <v>2021</v>
      </c>
      <c r="K18" s="59"/>
      <c r="L18" s="34">
        <v>2021</v>
      </c>
      <c r="M18" s="35">
        <v>2022</v>
      </c>
      <c r="N18" s="23">
        <v>2023</v>
      </c>
      <c r="O18" s="23">
        <v>2024</v>
      </c>
      <c r="P18" s="34">
        <v>2020</v>
      </c>
      <c r="Q18" s="23">
        <v>2021</v>
      </c>
      <c r="R18" s="59"/>
      <c r="S18" s="34">
        <v>2021</v>
      </c>
      <c r="T18" s="35">
        <v>2022</v>
      </c>
      <c r="U18" s="23">
        <v>2023</v>
      </c>
      <c r="V18" s="23">
        <v>2024</v>
      </c>
      <c r="W18" s="34">
        <v>2020</v>
      </c>
      <c r="X18" s="23">
        <v>2021</v>
      </c>
      <c r="Y18" s="59"/>
      <c r="Z18" s="34">
        <v>2021</v>
      </c>
      <c r="AA18" s="35">
        <v>2022</v>
      </c>
      <c r="AB18" s="23">
        <v>2023</v>
      </c>
      <c r="AC18" s="23">
        <v>2024</v>
      </c>
      <c r="AD18" s="34">
        <v>2020</v>
      </c>
      <c r="AE18" s="23">
        <v>2021</v>
      </c>
    </row>
    <row r="19" spans="1:32" s="1" customFormat="1" ht="23.25">
      <c r="A19" s="36">
        <v>1</v>
      </c>
      <c r="B19" s="36">
        <v>2</v>
      </c>
      <c r="C19" s="36">
        <v>3</v>
      </c>
      <c r="D19" s="37">
        <v>4</v>
      </c>
      <c r="E19" s="38">
        <v>5</v>
      </c>
      <c r="F19" s="39">
        <v>6</v>
      </c>
      <c r="G19" s="36">
        <v>7</v>
      </c>
      <c r="H19" s="36">
        <v>8</v>
      </c>
      <c r="I19" s="38">
        <v>9</v>
      </c>
      <c r="J19" s="36">
        <v>10</v>
      </c>
      <c r="K19" s="37">
        <v>7</v>
      </c>
      <c r="L19" s="38">
        <v>8</v>
      </c>
      <c r="M19" s="39">
        <v>9</v>
      </c>
      <c r="N19" s="36">
        <v>12</v>
      </c>
      <c r="O19" s="36">
        <v>13</v>
      </c>
      <c r="P19" s="38">
        <v>15</v>
      </c>
      <c r="Q19" s="36">
        <v>17</v>
      </c>
      <c r="R19" s="37">
        <v>10</v>
      </c>
      <c r="S19" s="38">
        <v>11</v>
      </c>
      <c r="T19" s="39">
        <v>12</v>
      </c>
      <c r="U19" s="36">
        <v>17</v>
      </c>
      <c r="V19" s="36">
        <v>18</v>
      </c>
      <c r="W19" s="38">
        <v>21</v>
      </c>
      <c r="X19" s="36">
        <v>24</v>
      </c>
      <c r="Y19" s="37">
        <v>13</v>
      </c>
      <c r="Z19" s="38">
        <v>14</v>
      </c>
      <c r="AA19" s="39">
        <v>15</v>
      </c>
      <c r="AB19" s="36">
        <v>22</v>
      </c>
      <c r="AC19" s="36">
        <v>23</v>
      </c>
      <c r="AD19" s="38">
        <v>27</v>
      </c>
      <c r="AE19" s="36">
        <v>31</v>
      </c>
      <c r="AF19" s="47"/>
    </row>
    <row r="20" spans="1:31" ht="39" customHeight="1">
      <c r="A20" s="59" t="s">
        <v>63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</row>
    <row r="21" spans="1:31" ht="282" customHeight="1">
      <c r="A21" s="40" t="s">
        <v>5</v>
      </c>
      <c r="B21" s="40" t="s">
        <v>47</v>
      </c>
      <c r="C21" s="40" t="s">
        <v>55</v>
      </c>
      <c r="D21" s="28">
        <f aca="true" t="shared" si="0" ref="D21:D28">E21+F21+G21+H21+I21+J21</f>
        <v>41001.056679999994</v>
      </c>
      <c r="E21" s="29">
        <f>30502.36348-7500</f>
        <v>23002.36348</v>
      </c>
      <c r="F21" s="29">
        <f>18183.21418-150-34.52098</f>
        <v>17998.693199999998</v>
      </c>
      <c r="G21" s="30">
        <v>0</v>
      </c>
      <c r="H21" s="30">
        <v>0</v>
      </c>
      <c r="I21" s="31"/>
      <c r="J21" s="30"/>
      <c r="K21" s="28">
        <f aca="true" t="shared" si="1" ref="K21:K28">L21+M21+N21+O21+P21+Q21</f>
        <v>16996.79679</v>
      </c>
      <c r="L21" s="29">
        <v>8000</v>
      </c>
      <c r="M21" s="29">
        <f>8500+496.79679</f>
        <v>8996.79679</v>
      </c>
      <c r="N21" s="30">
        <v>0</v>
      </c>
      <c r="O21" s="30">
        <v>0</v>
      </c>
      <c r="P21" s="31"/>
      <c r="Q21" s="30"/>
      <c r="R21" s="28">
        <f aca="true" t="shared" si="2" ref="R21:R28">S21+T21+U21+V21+W21+X21</f>
        <v>0</v>
      </c>
      <c r="S21" s="29">
        <v>0</v>
      </c>
      <c r="T21" s="29">
        <v>0</v>
      </c>
      <c r="U21" s="30">
        <v>0</v>
      </c>
      <c r="V21" s="30">
        <v>0</v>
      </c>
      <c r="W21" s="31">
        <v>0</v>
      </c>
      <c r="X21" s="30">
        <v>0</v>
      </c>
      <c r="Y21" s="28">
        <f>Z21+AA21+AB21+AC21</f>
        <v>57997.85347</v>
      </c>
      <c r="Z21" s="29">
        <f aca="true" t="shared" si="3" ref="Z21:AE22">E21+L21+S21</f>
        <v>31002.36348</v>
      </c>
      <c r="AA21" s="29">
        <f t="shared" si="3"/>
        <v>26995.48999</v>
      </c>
      <c r="AB21" s="29">
        <f t="shared" si="3"/>
        <v>0</v>
      </c>
      <c r="AC21" s="29">
        <f t="shared" si="3"/>
        <v>0</v>
      </c>
      <c r="AD21" s="29">
        <f t="shared" si="3"/>
        <v>0</v>
      </c>
      <c r="AE21" s="29">
        <f t="shared" si="3"/>
        <v>0</v>
      </c>
    </row>
    <row r="22" spans="1:31" ht="323.25" customHeight="1">
      <c r="A22" s="40" t="s">
        <v>6</v>
      </c>
      <c r="B22" s="40" t="s">
        <v>54</v>
      </c>
      <c r="C22" s="40" t="s">
        <v>56</v>
      </c>
      <c r="D22" s="28">
        <f t="shared" si="0"/>
        <v>41615.28724</v>
      </c>
      <c r="E22" s="29">
        <f>32798.85935-11700</f>
        <v>21098.85935</v>
      </c>
      <c r="F22" s="29">
        <f>20302.26036+214.16753</f>
        <v>20516.42789</v>
      </c>
      <c r="G22" s="30">
        <v>0</v>
      </c>
      <c r="H22" s="30">
        <v>0</v>
      </c>
      <c r="I22" s="31"/>
      <c r="J22" s="30"/>
      <c r="K22" s="28">
        <f t="shared" si="1"/>
        <v>24605.6</v>
      </c>
      <c r="L22" s="29">
        <v>12430</v>
      </c>
      <c r="M22" s="29">
        <f>10875.6+1300</f>
        <v>12175.6</v>
      </c>
      <c r="N22" s="30">
        <v>0</v>
      </c>
      <c r="O22" s="30">
        <v>0</v>
      </c>
      <c r="P22" s="31"/>
      <c r="Q22" s="30"/>
      <c r="R22" s="28">
        <f t="shared" si="2"/>
        <v>0</v>
      </c>
      <c r="S22" s="29">
        <v>0</v>
      </c>
      <c r="T22" s="29">
        <v>0</v>
      </c>
      <c r="U22" s="30">
        <v>0</v>
      </c>
      <c r="V22" s="30">
        <v>0</v>
      </c>
      <c r="W22" s="31">
        <v>0</v>
      </c>
      <c r="X22" s="30">
        <v>0</v>
      </c>
      <c r="Y22" s="28">
        <f>Z22+AA22+AB22+AC22</f>
        <v>66220.88724</v>
      </c>
      <c r="Z22" s="29">
        <f t="shared" si="3"/>
        <v>33528.85935</v>
      </c>
      <c r="AA22" s="29">
        <f t="shared" si="3"/>
        <v>32692.027889999998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</row>
    <row r="23" spans="1:31" ht="159" customHeight="1">
      <c r="A23" s="42" t="s">
        <v>7</v>
      </c>
      <c r="B23" s="42" t="s">
        <v>111</v>
      </c>
      <c r="C23" s="40" t="s">
        <v>110</v>
      </c>
      <c r="D23" s="28">
        <f t="shared" si="0"/>
        <v>19459.66127</v>
      </c>
      <c r="E23" s="29">
        <f>E24+E26+E28+E29+E25+E27</f>
        <v>18883.14404</v>
      </c>
      <c r="F23" s="29">
        <f>F24+F26+F28+F29+F25+F27</f>
        <v>576.51723</v>
      </c>
      <c r="G23" s="29">
        <f>G24+G26+G28+G29+G25+G27</f>
        <v>0</v>
      </c>
      <c r="H23" s="29">
        <f>H24+H26+H28+H29+H25+H27</f>
        <v>0</v>
      </c>
      <c r="I23" s="29"/>
      <c r="J23" s="29"/>
      <c r="K23" s="28">
        <f t="shared" si="1"/>
        <v>8281</v>
      </c>
      <c r="L23" s="29">
        <f>L24+L25+L26+L27+L29+L28</f>
        <v>7704.700000000001</v>
      </c>
      <c r="M23" s="29">
        <f>M24+M25+M26+M27+M29+M28</f>
        <v>576.3</v>
      </c>
      <c r="N23" s="29">
        <f>N24+N25+N26+N27+N29+N28</f>
        <v>0</v>
      </c>
      <c r="O23" s="29">
        <f>O24+O25+O26+O27+O29+O28</f>
        <v>0</v>
      </c>
      <c r="P23" s="29"/>
      <c r="Q23" s="29"/>
      <c r="R23" s="28">
        <f>S23+T23+U23+V23</f>
        <v>5629.9</v>
      </c>
      <c r="S23" s="29">
        <f>S24+S25+S26+S27+S28+S29</f>
        <v>3485</v>
      </c>
      <c r="T23" s="29">
        <f>T24+T25+T26+T27+T28+T29</f>
        <v>2144.9</v>
      </c>
      <c r="U23" s="29">
        <f>U24+U25+U26+U27+U28+U29</f>
        <v>0</v>
      </c>
      <c r="V23" s="29">
        <f>V24+V25+V26+V27+V28+V29</f>
        <v>0</v>
      </c>
      <c r="W23" s="29" t="e">
        <f>#REF!+W24+W26+W28</f>
        <v>#REF!</v>
      </c>
      <c r="X23" s="29" t="e">
        <f>#REF!+X24+X26+X28</f>
        <v>#REF!</v>
      </c>
      <c r="Y23" s="28">
        <f>Z23+AA23+AB23+AC23</f>
        <v>33370.56127</v>
      </c>
      <c r="Z23" s="29">
        <f>Z24+Z25+Z26+Z27+Z28+Z29</f>
        <v>30072.84404</v>
      </c>
      <c r="AA23" s="29">
        <f>F23+M23+T23</f>
        <v>3297.71723</v>
      </c>
      <c r="AB23" s="29">
        <f>G23+N23+U23</f>
        <v>0</v>
      </c>
      <c r="AC23" s="29">
        <f>H23+O23+V23</f>
        <v>0</v>
      </c>
      <c r="AD23" s="29" t="e">
        <f>I23+P23+W23</f>
        <v>#REF!</v>
      </c>
      <c r="AE23" s="29" t="e">
        <f>J23+Q23+X23</f>
        <v>#REF!</v>
      </c>
    </row>
    <row r="24" spans="1:31" ht="186" customHeight="1">
      <c r="A24" s="41" t="s">
        <v>85</v>
      </c>
      <c r="B24" s="40" t="s">
        <v>84</v>
      </c>
      <c r="C24" s="40" t="s">
        <v>55</v>
      </c>
      <c r="D24" s="28">
        <f t="shared" si="0"/>
        <v>900</v>
      </c>
      <c r="E24" s="29">
        <v>900</v>
      </c>
      <c r="F24" s="29">
        <v>0</v>
      </c>
      <c r="G24" s="30">
        <v>0</v>
      </c>
      <c r="H24" s="30">
        <v>0</v>
      </c>
      <c r="I24" s="31"/>
      <c r="J24" s="30">
        <v>0</v>
      </c>
      <c r="K24" s="28">
        <f t="shared" si="1"/>
        <v>3600</v>
      </c>
      <c r="L24" s="29">
        <v>3600</v>
      </c>
      <c r="M24" s="29">
        <v>0</v>
      </c>
      <c r="N24" s="30">
        <v>0</v>
      </c>
      <c r="O24" s="30">
        <v>0</v>
      </c>
      <c r="P24" s="31"/>
      <c r="Q24" s="30"/>
      <c r="R24" s="28">
        <f t="shared" si="2"/>
        <v>0</v>
      </c>
      <c r="S24" s="29">
        <v>0</v>
      </c>
      <c r="T24" s="29">
        <v>0</v>
      </c>
      <c r="U24" s="30">
        <v>0</v>
      </c>
      <c r="V24" s="30">
        <v>0</v>
      </c>
      <c r="W24" s="31">
        <v>0</v>
      </c>
      <c r="X24" s="30">
        <v>0</v>
      </c>
      <c r="Y24" s="28">
        <f>Z24+AA24+AB24+AC24+AD24+AE24</f>
        <v>4500</v>
      </c>
      <c r="Z24" s="29">
        <f>E24+S24+L24</f>
        <v>4500</v>
      </c>
      <c r="AA24" s="29">
        <v>0</v>
      </c>
      <c r="AB24" s="30">
        <v>0</v>
      </c>
      <c r="AC24" s="30">
        <v>0</v>
      </c>
      <c r="AD24" s="31">
        <v>0</v>
      </c>
      <c r="AE24" s="30">
        <v>0</v>
      </c>
    </row>
    <row r="25" spans="1:31" ht="156" customHeight="1">
      <c r="A25" s="41" t="s">
        <v>57</v>
      </c>
      <c r="B25" s="40" t="s">
        <v>59</v>
      </c>
      <c r="C25" s="40" t="s">
        <v>56</v>
      </c>
      <c r="D25" s="28">
        <f>223.68421+F25+G25+H25+I25+J25</f>
        <v>364.88421000000005</v>
      </c>
      <c r="E25" s="29">
        <v>223.68421</v>
      </c>
      <c r="F25" s="29">
        <f>141.11579+0.08421</f>
        <v>141.20000000000002</v>
      </c>
      <c r="G25" s="30">
        <v>0</v>
      </c>
      <c r="H25" s="30">
        <v>0</v>
      </c>
      <c r="I25" s="31"/>
      <c r="J25" s="30"/>
      <c r="K25" s="28">
        <f t="shared" si="1"/>
        <v>1301.3</v>
      </c>
      <c r="L25" s="29">
        <v>765</v>
      </c>
      <c r="M25" s="29">
        <v>536.3</v>
      </c>
      <c r="N25" s="30">
        <v>0</v>
      </c>
      <c r="O25" s="30">
        <v>0</v>
      </c>
      <c r="P25" s="31"/>
      <c r="Q25" s="30"/>
      <c r="R25" s="28">
        <f t="shared" si="2"/>
        <v>5629.9</v>
      </c>
      <c r="S25" s="29">
        <v>3485</v>
      </c>
      <c r="T25" s="29">
        <v>2144.9</v>
      </c>
      <c r="U25" s="30">
        <v>0</v>
      </c>
      <c r="V25" s="30">
        <v>0</v>
      </c>
      <c r="W25" s="31"/>
      <c r="X25" s="30"/>
      <c r="Y25" s="28">
        <f>Z25+AA25+AB25+AC25+AD25+AE25</f>
        <v>7296.084210000001</v>
      </c>
      <c r="Z25" s="29">
        <f>223.68421+L25+S25</f>
        <v>4473.68421</v>
      </c>
      <c r="AA25" s="29">
        <f aca="true" t="shared" si="4" ref="AA25:AE29">F25+M25+T25</f>
        <v>2822.4</v>
      </c>
      <c r="AB25" s="29">
        <f t="shared" si="4"/>
        <v>0</v>
      </c>
      <c r="AC25" s="29">
        <f>H25+O25+V25</f>
        <v>0</v>
      </c>
      <c r="AD25" s="29">
        <f t="shared" si="4"/>
        <v>0</v>
      </c>
      <c r="AE25" s="29">
        <f t="shared" si="4"/>
        <v>0</v>
      </c>
    </row>
    <row r="26" spans="1:31" ht="222.75" customHeight="1">
      <c r="A26" s="51" t="s">
        <v>58</v>
      </c>
      <c r="B26" s="53" t="s">
        <v>61</v>
      </c>
      <c r="C26" s="40" t="s">
        <v>55</v>
      </c>
      <c r="D26" s="28">
        <f t="shared" si="0"/>
        <v>13509.175</v>
      </c>
      <c r="E26" s="29">
        <f>3509.175+10000</f>
        <v>13509.175</v>
      </c>
      <c r="F26" s="29">
        <v>0</v>
      </c>
      <c r="G26" s="30">
        <v>0</v>
      </c>
      <c r="H26" s="30">
        <v>0</v>
      </c>
      <c r="I26" s="31"/>
      <c r="J26" s="30"/>
      <c r="K26" s="28">
        <f t="shared" si="1"/>
        <v>3286.7000000000007</v>
      </c>
      <c r="L26" s="29">
        <f>14036.7-10750</f>
        <v>3286.7000000000007</v>
      </c>
      <c r="M26" s="29">
        <v>0</v>
      </c>
      <c r="N26" s="30">
        <v>0</v>
      </c>
      <c r="O26" s="30">
        <v>0</v>
      </c>
      <c r="P26" s="31"/>
      <c r="Q26" s="30"/>
      <c r="R26" s="28">
        <f t="shared" si="2"/>
        <v>0</v>
      </c>
      <c r="S26" s="29">
        <v>0</v>
      </c>
      <c r="T26" s="29">
        <v>0</v>
      </c>
      <c r="U26" s="30">
        <v>0</v>
      </c>
      <c r="V26" s="30">
        <v>0</v>
      </c>
      <c r="W26" s="31">
        <v>0</v>
      </c>
      <c r="X26" s="30">
        <v>0</v>
      </c>
      <c r="Y26" s="28">
        <f>Z26+AA26+AB26+AC26+AD26+AE26</f>
        <v>16795.875</v>
      </c>
      <c r="Z26" s="29">
        <f>E26+L26+S26</f>
        <v>16795.875</v>
      </c>
      <c r="AA26" s="29">
        <f t="shared" si="4"/>
        <v>0</v>
      </c>
      <c r="AB26" s="29">
        <f t="shared" si="4"/>
        <v>0</v>
      </c>
      <c r="AC26" s="29">
        <f t="shared" si="4"/>
        <v>0</v>
      </c>
      <c r="AD26" s="29">
        <f t="shared" si="4"/>
        <v>0</v>
      </c>
      <c r="AE26" s="29">
        <f t="shared" si="4"/>
        <v>0</v>
      </c>
    </row>
    <row r="27" spans="1:31" ht="222.75" customHeight="1">
      <c r="A27" s="52"/>
      <c r="B27" s="55"/>
      <c r="C27" s="40" t="s">
        <v>56</v>
      </c>
      <c r="D27" s="28">
        <f>E27+F27+G27+H27+I27+J27</f>
        <v>1162.6872</v>
      </c>
      <c r="E27" s="29">
        <v>750</v>
      </c>
      <c r="F27" s="29">
        <f>422.10778-9.42058</f>
        <v>412.6872</v>
      </c>
      <c r="G27" s="30">
        <v>0</v>
      </c>
      <c r="H27" s="30">
        <v>0</v>
      </c>
      <c r="I27" s="31"/>
      <c r="J27" s="30"/>
      <c r="K27" s="28">
        <f>L27+M27+N27+O27+P27+Q27</f>
        <v>0</v>
      </c>
      <c r="L27" s="29">
        <v>0</v>
      </c>
      <c r="M27" s="29">
        <v>0</v>
      </c>
      <c r="N27" s="30">
        <v>0</v>
      </c>
      <c r="O27" s="30">
        <v>0</v>
      </c>
      <c r="P27" s="31"/>
      <c r="Q27" s="30"/>
      <c r="R27" s="28">
        <f>S27+T27+U27+V27+W27+X27</f>
        <v>0</v>
      </c>
      <c r="S27" s="29">
        <v>0</v>
      </c>
      <c r="T27" s="29">
        <v>0</v>
      </c>
      <c r="U27" s="30">
        <v>0</v>
      </c>
      <c r="V27" s="30">
        <v>0</v>
      </c>
      <c r="W27" s="31">
        <v>0</v>
      </c>
      <c r="X27" s="30">
        <v>0</v>
      </c>
      <c r="Y27" s="28">
        <f>Z27+AA27+AB27+AC27+AD27+AE27</f>
        <v>1162.6872</v>
      </c>
      <c r="Z27" s="29">
        <f>E27+L27+S27</f>
        <v>750</v>
      </c>
      <c r="AA27" s="29">
        <f>F27+M27+T27</f>
        <v>412.6872</v>
      </c>
      <c r="AB27" s="29">
        <f>G27+N27+U27</f>
        <v>0</v>
      </c>
      <c r="AC27" s="29">
        <f>H27+O27+V27</f>
        <v>0</v>
      </c>
      <c r="AD27" s="29">
        <f>I27+P27+W27</f>
        <v>0</v>
      </c>
      <c r="AE27" s="29">
        <f>J27+Q27+X27</f>
        <v>0</v>
      </c>
    </row>
    <row r="28" spans="1:31" ht="135" customHeight="1">
      <c r="A28" s="43" t="s">
        <v>60</v>
      </c>
      <c r="B28" s="42" t="s">
        <v>62</v>
      </c>
      <c r="C28" s="40" t="s">
        <v>110</v>
      </c>
      <c r="D28" s="28">
        <f t="shared" si="0"/>
        <v>0</v>
      </c>
      <c r="E28" s="29">
        <v>0</v>
      </c>
      <c r="F28" s="29">
        <v>0</v>
      </c>
      <c r="G28" s="30">
        <v>0</v>
      </c>
      <c r="H28" s="30">
        <v>0</v>
      </c>
      <c r="I28" s="31"/>
      <c r="J28" s="30">
        <v>0</v>
      </c>
      <c r="K28" s="28">
        <f t="shared" si="1"/>
        <v>93</v>
      </c>
      <c r="L28" s="29">
        <f>22+31</f>
        <v>53</v>
      </c>
      <c r="M28" s="29">
        <f>9+3+24+4</f>
        <v>40</v>
      </c>
      <c r="N28" s="30">
        <v>0</v>
      </c>
      <c r="O28" s="30">
        <v>0</v>
      </c>
      <c r="P28" s="31"/>
      <c r="Q28" s="30"/>
      <c r="R28" s="28">
        <f t="shared" si="2"/>
        <v>0</v>
      </c>
      <c r="S28" s="29">
        <v>0</v>
      </c>
      <c r="T28" s="29">
        <v>0</v>
      </c>
      <c r="U28" s="30">
        <v>0</v>
      </c>
      <c r="V28" s="30">
        <v>0</v>
      </c>
      <c r="W28" s="31">
        <v>0</v>
      </c>
      <c r="X28" s="30">
        <v>0</v>
      </c>
      <c r="Y28" s="28">
        <f>Z28+AA28+AB28+AC28+AD28+AE28</f>
        <v>93</v>
      </c>
      <c r="Z28" s="29">
        <f>E28+L28+S28</f>
        <v>53</v>
      </c>
      <c r="AA28" s="29">
        <f t="shared" si="4"/>
        <v>40</v>
      </c>
      <c r="AB28" s="29">
        <f t="shared" si="4"/>
        <v>0</v>
      </c>
      <c r="AC28" s="29">
        <f t="shared" si="4"/>
        <v>0</v>
      </c>
      <c r="AD28" s="29">
        <f t="shared" si="4"/>
        <v>0</v>
      </c>
      <c r="AE28" s="29">
        <f t="shared" si="4"/>
        <v>0</v>
      </c>
    </row>
    <row r="29" spans="1:31" ht="123" customHeight="1">
      <c r="A29" s="43" t="s">
        <v>92</v>
      </c>
      <c r="B29" s="42" t="s">
        <v>91</v>
      </c>
      <c r="C29" s="40" t="s">
        <v>110</v>
      </c>
      <c r="D29" s="28">
        <f>E29+F29+G29+H29+I29+J29</f>
        <v>3522.91486</v>
      </c>
      <c r="E29" s="29">
        <f>131.47929+250.79219+1436.24141+1681.77194</f>
        <v>3500.28483</v>
      </c>
      <c r="F29" s="29">
        <v>22.63003</v>
      </c>
      <c r="G29" s="29">
        <v>0</v>
      </c>
      <c r="H29" s="29">
        <v>0</v>
      </c>
      <c r="I29" s="29"/>
      <c r="J29" s="29"/>
      <c r="K29" s="28">
        <f>L29+M29+N29+O29+P29+Q29</f>
        <v>0</v>
      </c>
      <c r="L29" s="29">
        <v>0</v>
      </c>
      <c r="M29" s="29">
        <v>0</v>
      </c>
      <c r="N29" s="29">
        <v>0</v>
      </c>
      <c r="O29" s="29">
        <v>0</v>
      </c>
      <c r="P29" s="29"/>
      <c r="Q29" s="29"/>
      <c r="R29" s="28">
        <f>S29+T29+U29+V29</f>
        <v>0</v>
      </c>
      <c r="S29" s="29">
        <v>0</v>
      </c>
      <c r="T29" s="29">
        <v>0</v>
      </c>
      <c r="U29" s="29">
        <v>0</v>
      </c>
      <c r="V29" s="29">
        <v>0</v>
      </c>
      <c r="W29" s="29" t="e">
        <f>#REF!+W30+W32+#REF!</f>
        <v>#REF!</v>
      </c>
      <c r="X29" s="29" t="e">
        <f>#REF!+X30+X32+#REF!</f>
        <v>#REF!</v>
      </c>
      <c r="Y29" s="28">
        <f>Z29+AA29+AB29+AC29</f>
        <v>3522.91486</v>
      </c>
      <c r="Z29" s="29">
        <f>E29+L29+S29</f>
        <v>3500.28483</v>
      </c>
      <c r="AA29" s="29">
        <f t="shared" si="4"/>
        <v>22.63003</v>
      </c>
      <c r="AB29" s="29">
        <f t="shared" si="4"/>
        <v>0</v>
      </c>
      <c r="AC29" s="29">
        <f>H29+O29+V29</f>
        <v>0</v>
      </c>
      <c r="AD29" s="29" t="e">
        <f t="shared" si="4"/>
        <v>#REF!</v>
      </c>
      <c r="AE29" s="29" t="e">
        <f t="shared" si="4"/>
        <v>#REF!</v>
      </c>
    </row>
    <row r="30" spans="1:32" s="19" customFormat="1" ht="141.75" customHeight="1">
      <c r="A30" s="69" t="s">
        <v>81</v>
      </c>
      <c r="B30" s="70"/>
      <c r="C30" s="71"/>
      <c r="D30" s="32">
        <f>E30+F30+G30+H30</f>
        <v>102076.00519</v>
      </c>
      <c r="E30" s="32">
        <f>E21+E22+E23</f>
        <v>62984.36687</v>
      </c>
      <c r="F30" s="32">
        <f>F21+F22+F23</f>
        <v>39091.63832</v>
      </c>
      <c r="G30" s="32">
        <f>G21+G22+G23</f>
        <v>0</v>
      </c>
      <c r="H30" s="32">
        <f>H21+H22+H23</f>
        <v>0</v>
      </c>
      <c r="I30" s="32" t="e">
        <f>I21+I22+I23+#REF!</f>
        <v>#REF!</v>
      </c>
      <c r="J30" s="32" t="e">
        <f>J21+J22+J23+#REF!</f>
        <v>#REF!</v>
      </c>
      <c r="K30" s="32">
        <f>L30+M30+N30+O30</f>
        <v>49883.39679</v>
      </c>
      <c r="L30" s="32">
        <f aca="true" t="shared" si="5" ref="L30:Q30">L21+L22+L23</f>
        <v>28134.7</v>
      </c>
      <c r="M30" s="32">
        <f t="shared" si="5"/>
        <v>21748.696789999998</v>
      </c>
      <c r="N30" s="32">
        <f t="shared" si="5"/>
        <v>0</v>
      </c>
      <c r="O30" s="32">
        <f t="shared" si="5"/>
        <v>0</v>
      </c>
      <c r="P30" s="32">
        <f t="shared" si="5"/>
        <v>0</v>
      </c>
      <c r="Q30" s="32">
        <f t="shared" si="5"/>
        <v>0</v>
      </c>
      <c r="R30" s="32">
        <f>S30+T30+U30+V30</f>
        <v>5629.9</v>
      </c>
      <c r="S30" s="32">
        <f>S21+S22+S23</f>
        <v>3485</v>
      </c>
      <c r="T30" s="32">
        <f>T21+T22+T23</f>
        <v>2144.9</v>
      </c>
      <c r="U30" s="32">
        <f>U21+U22+U23</f>
        <v>0</v>
      </c>
      <c r="V30" s="32">
        <f>V21+V22+V23</f>
        <v>0</v>
      </c>
      <c r="W30" s="32" t="e">
        <f>W21+W22+W23+#REF!</f>
        <v>#REF!</v>
      </c>
      <c r="X30" s="32" t="e">
        <f>X21+X22+X23+#REF!</f>
        <v>#REF!</v>
      </c>
      <c r="Y30" s="32">
        <f>Z30+AA30+AB30+AC30</f>
        <v>157589.30198</v>
      </c>
      <c r="Z30" s="32">
        <f>Z21+Z22+Z23</f>
        <v>94604.06687</v>
      </c>
      <c r="AA30" s="32">
        <f>AA21+AA22+AA23</f>
        <v>62985.23511</v>
      </c>
      <c r="AB30" s="32">
        <f>AB21+AB22+AB23</f>
        <v>0</v>
      </c>
      <c r="AC30" s="32">
        <f>AC21+AC22+AC23</f>
        <v>0</v>
      </c>
      <c r="AD30" s="32" t="e">
        <f>AD21+AD22+AD23+#REF!</f>
        <v>#REF!</v>
      </c>
      <c r="AE30" s="32" t="e">
        <f>AE21+AE22+AE23+#REF!</f>
        <v>#REF!</v>
      </c>
      <c r="AF30" s="45"/>
    </row>
    <row r="31" spans="1:32" ht="23.25">
      <c r="A31" s="66" t="s">
        <v>64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48"/>
    </row>
    <row r="32" spans="1:32" ht="264" customHeight="1">
      <c r="A32" s="42" t="s">
        <v>8</v>
      </c>
      <c r="B32" s="42" t="s">
        <v>112</v>
      </c>
      <c r="C32" s="40" t="s">
        <v>113</v>
      </c>
      <c r="D32" s="32">
        <f aca="true" t="shared" si="6" ref="D32:D37">E32+F32+G32+H32+I32+J32</f>
        <v>130763.55246</v>
      </c>
      <c r="E32" s="29">
        <f>32681.28888-6850+25499.72744+15188.17398</f>
        <v>66519.19029999999</v>
      </c>
      <c r="F32" s="29">
        <f>7682.54565+20603.31317+17556.91952+14234.7674+431.70986+200+220.20066+2200.34309+235.038+700+537.62423-138.09942+470+120-810</f>
        <v>64244.36216000001</v>
      </c>
      <c r="G32" s="31">
        <v>0</v>
      </c>
      <c r="H32" s="31">
        <v>0</v>
      </c>
      <c r="I32" s="31"/>
      <c r="J32" s="31"/>
      <c r="K32" s="32">
        <f aca="true" t="shared" si="7" ref="K32:K37">L32+M32+N32+O32+P32+Q32</f>
        <v>41012.48983</v>
      </c>
      <c r="L32" s="29">
        <f>6850+1794.25+8383.85+1251</f>
        <v>18279.1</v>
      </c>
      <c r="M32" s="29">
        <f>8500+2097.374+8500+1054.88779+1636.61273+479.38148+465.13383</f>
        <v>22733.38983</v>
      </c>
      <c r="N32" s="31">
        <v>0</v>
      </c>
      <c r="O32" s="31">
        <v>0</v>
      </c>
      <c r="P32" s="31"/>
      <c r="Q32" s="31"/>
      <c r="R32" s="32">
        <f>S32+T32+U32+V32+W32+X32</f>
        <v>0</v>
      </c>
      <c r="S32" s="29">
        <v>0</v>
      </c>
      <c r="T32" s="29">
        <v>0</v>
      </c>
      <c r="U32" s="31">
        <v>0</v>
      </c>
      <c r="V32" s="31">
        <v>0</v>
      </c>
      <c r="W32" s="31">
        <v>0</v>
      </c>
      <c r="X32" s="31">
        <v>0</v>
      </c>
      <c r="Y32" s="32">
        <f>Z32+AA32+AB32+AC32+AD32+AE32</f>
        <v>171776.04229</v>
      </c>
      <c r="Z32" s="29">
        <f>E32+L32+S32</f>
        <v>84798.2903</v>
      </c>
      <c r="AA32" s="29">
        <f>F32+M32+T32</f>
        <v>86977.75199000002</v>
      </c>
      <c r="AB32" s="29">
        <f>G32+N32+U32</f>
        <v>0</v>
      </c>
      <c r="AC32" s="29">
        <f>H32+O32+V32</f>
        <v>0</v>
      </c>
      <c r="AD32" s="29">
        <f aca="true" t="shared" si="8" ref="AA32:AE33">I32+P32+W32</f>
        <v>0</v>
      </c>
      <c r="AE32" s="29">
        <f t="shared" si="8"/>
        <v>0</v>
      </c>
      <c r="AF32" s="48"/>
    </row>
    <row r="33" spans="1:32" ht="215.25" customHeight="1">
      <c r="A33" s="42" t="s">
        <v>9</v>
      </c>
      <c r="B33" s="42" t="s">
        <v>117</v>
      </c>
      <c r="C33" s="40" t="s">
        <v>113</v>
      </c>
      <c r="D33" s="32">
        <f t="shared" si="6"/>
        <v>13607.043709999998</v>
      </c>
      <c r="E33" s="29">
        <f>E34+E35+E36+E37</f>
        <v>10644.929989999999</v>
      </c>
      <c r="F33" s="29">
        <f>F34+F35+F36+F37</f>
        <v>2962.11372</v>
      </c>
      <c r="G33" s="29">
        <f>G34+G35+G36+G37</f>
        <v>0</v>
      </c>
      <c r="H33" s="29">
        <f>H34+H35+H36+H37</f>
        <v>0</v>
      </c>
      <c r="I33" s="29"/>
      <c r="J33" s="29"/>
      <c r="K33" s="32">
        <f t="shared" si="7"/>
        <v>152</v>
      </c>
      <c r="L33" s="29">
        <f>L34+L35</f>
        <v>63</v>
      </c>
      <c r="M33" s="29">
        <f>M34+M35</f>
        <v>89</v>
      </c>
      <c r="N33" s="29">
        <f>N34+N35</f>
        <v>0</v>
      </c>
      <c r="O33" s="29">
        <f>O34+O35</f>
        <v>0</v>
      </c>
      <c r="P33" s="29"/>
      <c r="Q33" s="29"/>
      <c r="R33" s="32">
        <f>S33+T33+U33+V33</f>
        <v>0</v>
      </c>
      <c r="S33" s="29">
        <f>S34+S35</f>
        <v>0</v>
      </c>
      <c r="T33" s="29">
        <f>T34+T35</f>
        <v>0</v>
      </c>
      <c r="U33" s="29">
        <f>U34+U35</f>
        <v>0</v>
      </c>
      <c r="V33" s="29">
        <f>V34+V35</f>
        <v>0</v>
      </c>
      <c r="W33" s="29" t="e">
        <f>#REF!+W34+#REF!+#REF!</f>
        <v>#REF!</v>
      </c>
      <c r="X33" s="29" t="e">
        <f>#REF!+X34+#REF!+#REF!</f>
        <v>#REF!</v>
      </c>
      <c r="Y33" s="32">
        <f>Z33+AA33+AB33+AC33</f>
        <v>13759.043709999998</v>
      </c>
      <c r="Z33" s="29">
        <f>E33+L33+S33</f>
        <v>10707.929989999999</v>
      </c>
      <c r="AA33" s="29">
        <f t="shared" si="8"/>
        <v>3051.11372</v>
      </c>
      <c r="AB33" s="29">
        <f t="shared" si="8"/>
        <v>0</v>
      </c>
      <c r="AC33" s="29">
        <f t="shared" si="8"/>
        <v>0</v>
      </c>
      <c r="AD33" s="29" t="e">
        <f t="shared" si="8"/>
        <v>#REF!</v>
      </c>
      <c r="AE33" s="29" t="e">
        <f t="shared" si="8"/>
        <v>#REF!</v>
      </c>
      <c r="AF33" s="48"/>
    </row>
    <row r="34" spans="1:31" ht="200.25" customHeight="1">
      <c r="A34" s="43" t="s">
        <v>68</v>
      </c>
      <c r="B34" s="42" t="s">
        <v>114</v>
      </c>
      <c r="C34" s="40" t="s">
        <v>115</v>
      </c>
      <c r="D34" s="32">
        <f t="shared" si="6"/>
        <v>0</v>
      </c>
      <c r="E34" s="29">
        <v>0</v>
      </c>
      <c r="F34" s="29">
        <v>0</v>
      </c>
      <c r="G34" s="31">
        <v>0</v>
      </c>
      <c r="H34" s="31">
        <v>0</v>
      </c>
      <c r="I34" s="31"/>
      <c r="J34" s="31"/>
      <c r="K34" s="32">
        <f t="shared" si="7"/>
        <v>152</v>
      </c>
      <c r="L34" s="29">
        <f>28+13+22</f>
        <v>63</v>
      </c>
      <c r="M34" s="29">
        <f>14.3+21.7+12+12+29</f>
        <v>89</v>
      </c>
      <c r="N34" s="31">
        <v>0</v>
      </c>
      <c r="O34" s="31">
        <v>0</v>
      </c>
      <c r="P34" s="31"/>
      <c r="Q34" s="31"/>
      <c r="R34" s="32">
        <f>S34+T34+U34+V34+W34+X34</f>
        <v>0</v>
      </c>
      <c r="S34" s="29">
        <v>0</v>
      </c>
      <c r="T34" s="29">
        <v>0</v>
      </c>
      <c r="U34" s="31">
        <v>0</v>
      </c>
      <c r="V34" s="31">
        <v>0</v>
      </c>
      <c r="W34" s="31">
        <v>0</v>
      </c>
      <c r="X34" s="31">
        <v>0</v>
      </c>
      <c r="Y34" s="32">
        <f>Z34+AA34+AB34+AC34+AD34+AE34</f>
        <v>152</v>
      </c>
      <c r="Z34" s="29">
        <f>E34+L34+S34</f>
        <v>63</v>
      </c>
      <c r="AA34" s="29">
        <f aca="true" t="shared" si="9" ref="AA34:AE35">F34+M34+T34</f>
        <v>89</v>
      </c>
      <c r="AB34" s="29">
        <f t="shared" si="9"/>
        <v>0</v>
      </c>
      <c r="AC34" s="29">
        <f t="shared" si="9"/>
        <v>0</v>
      </c>
      <c r="AD34" s="29">
        <f t="shared" si="9"/>
        <v>0</v>
      </c>
      <c r="AE34" s="29">
        <f t="shared" si="9"/>
        <v>0</v>
      </c>
    </row>
    <row r="35" spans="1:31" ht="155.25" customHeight="1">
      <c r="A35" s="41" t="s">
        <v>69</v>
      </c>
      <c r="B35" s="40" t="s">
        <v>70</v>
      </c>
      <c r="C35" s="40" t="s">
        <v>65</v>
      </c>
      <c r="D35" s="32">
        <f t="shared" si="6"/>
        <v>3533.7153999999996</v>
      </c>
      <c r="E35" s="29">
        <f>4160.5-1760.26472+0.02422+1133.4559</f>
        <v>3533.7153999999996</v>
      </c>
      <c r="F35" s="29">
        <v>0</v>
      </c>
      <c r="G35" s="31">
        <v>0</v>
      </c>
      <c r="H35" s="31">
        <v>0</v>
      </c>
      <c r="I35" s="31"/>
      <c r="J35" s="31">
        <v>0</v>
      </c>
      <c r="K35" s="32">
        <f t="shared" si="7"/>
        <v>0</v>
      </c>
      <c r="L35" s="29">
        <v>0</v>
      </c>
      <c r="M35" s="29">
        <v>0</v>
      </c>
      <c r="N35" s="31">
        <v>0</v>
      </c>
      <c r="O35" s="31">
        <v>0</v>
      </c>
      <c r="P35" s="31"/>
      <c r="Q35" s="31"/>
      <c r="R35" s="32">
        <f>S35+T35+U35+V35+W35+X35</f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32">
        <f>Z35+AA35+AB35+AC35+AD35+AE35</f>
        <v>3533.7153999999996</v>
      </c>
      <c r="Z35" s="29">
        <f>E35+L35+S35</f>
        <v>3533.7153999999996</v>
      </c>
      <c r="AA35" s="29">
        <f t="shared" si="9"/>
        <v>0</v>
      </c>
      <c r="AB35" s="31">
        <f t="shared" si="9"/>
        <v>0</v>
      </c>
      <c r="AC35" s="31">
        <f t="shared" si="9"/>
        <v>0</v>
      </c>
      <c r="AD35" s="31">
        <f t="shared" si="9"/>
        <v>0</v>
      </c>
      <c r="AE35" s="30">
        <f t="shared" si="9"/>
        <v>0</v>
      </c>
    </row>
    <row r="36" spans="1:31" ht="275.25" customHeight="1">
      <c r="A36" s="43" t="s">
        <v>89</v>
      </c>
      <c r="B36" s="49" t="s">
        <v>116</v>
      </c>
      <c r="C36" s="40" t="s">
        <v>113</v>
      </c>
      <c r="D36" s="32">
        <f t="shared" si="6"/>
        <v>9872.12831</v>
      </c>
      <c r="E36" s="29">
        <f>450.40339+552.0967+923.05409+2160.1402+1437.57305-891.07666+2053.69546+425.32836</f>
        <v>7111.21459</v>
      </c>
      <c r="F36" s="29">
        <f>23.03948+1331.27722+1357.13496-67.37849+196.96023-80.11968</f>
        <v>2760.91372</v>
      </c>
      <c r="G36" s="31">
        <v>0</v>
      </c>
      <c r="H36" s="31">
        <v>0</v>
      </c>
      <c r="I36" s="31"/>
      <c r="J36" s="31">
        <v>0</v>
      </c>
      <c r="K36" s="32">
        <f t="shared" si="7"/>
        <v>0</v>
      </c>
      <c r="L36" s="29">
        <v>0</v>
      </c>
      <c r="M36" s="29">
        <v>0</v>
      </c>
      <c r="N36" s="31">
        <v>0</v>
      </c>
      <c r="O36" s="31">
        <v>0</v>
      </c>
      <c r="P36" s="31"/>
      <c r="Q36" s="31"/>
      <c r="R36" s="32">
        <f>S36+T36+U36+V36+W36+X36</f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32">
        <f>Z36+AA36+AB36+AC36+AD36+AE36</f>
        <v>9872.12831</v>
      </c>
      <c r="Z36" s="29">
        <f aca="true" t="shared" si="10" ref="Z36:AE36">E36+L36+S36</f>
        <v>7111.21459</v>
      </c>
      <c r="AA36" s="29">
        <f t="shared" si="10"/>
        <v>2760.91372</v>
      </c>
      <c r="AB36" s="31">
        <f t="shared" si="10"/>
        <v>0</v>
      </c>
      <c r="AC36" s="31">
        <f t="shared" si="10"/>
        <v>0</v>
      </c>
      <c r="AD36" s="31">
        <f t="shared" si="10"/>
        <v>0</v>
      </c>
      <c r="AE36" s="30">
        <f t="shared" si="10"/>
        <v>0</v>
      </c>
    </row>
    <row r="37" spans="1:31" ht="155.25" customHeight="1">
      <c r="A37" s="43" t="s">
        <v>97</v>
      </c>
      <c r="B37" s="42" t="s">
        <v>107</v>
      </c>
      <c r="C37" s="40" t="s">
        <v>66</v>
      </c>
      <c r="D37" s="32">
        <f t="shared" si="6"/>
        <v>201.2</v>
      </c>
      <c r="E37" s="29">
        <v>0</v>
      </c>
      <c r="F37" s="29">
        <v>201.2</v>
      </c>
      <c r="G37" s="31">
        <v>0</v>
      </c>
      <c r="H37" s="31">
        <v>0</v>
      </c>
      <c r="I37" s="31"/>
      <c r="J37" s="31">
        <v>0</v>
      </c>
      <c r="K37" s="32">
        <f t="shared" si="7"/>
        <v>0</v>
      </c>
      <c r="L37" s="29">
        <v>0</v>
      </c>
      <c r="M37" s="29">
        <v>0</v>
      </c>
      <c r="N37" s="31">
        <v>0</v>
      </c>
      <c r="O37" s="31">
        <v>0</v>
      </c>
      <c r="P37" s="31"/>
      <c r="Q37" s="31"/>
      <c r="R37" s="32">
        <f>S37+T37+U37+V37+W37+X37</f>
        <v>0</v>
      </c>
      <c r="S37" s="29">
        <v>0</v>
      </c>
      <c r="T37" s="29">
        <v>0</v>
      </c>
      <c r="U37" s="31">
        <v>0</v>
      </c>
      <c r="V37" s="31">
        <v>0</v>
      </c>
      <c r="W37" s="31">
        <v>0</v>
      </c>
      <c r="X37" s="31">
        <v>0</v>
      </c>
      <c r="Y37" s="32">
        <f>Z37+AA37+AB37+AC37+AD37+AE37</f>
        <v>201.2</v>
      </c>
      <c r="Z37" s="29">
        <f aca="true" t="shared" si="11" ref="Z37:AE37">E37+L37+S37</f>
        <v>0</v>
      </c>
      <c r="AA37" s="29">
        <f t="shared" si="11"/>
        <v>201.2</v>
      </c>
      <c r="AB37" s="31">
        <f t="shared" si="11"/>
        <v>0</v>
      </c>
      <c r="AC37" s="31">
        <f t="shared" si="11"/>
        <v>0</v>
      </c>
      <c r="AD37" s="31">
        <f t="shared" si="11"/>
        <v>0</v>
      </c>
      <c r="AE37" s="30">
        <f t="shared" si="11"/>
        <v>0</v>
      </c>
    </row>
    <row r="38" spans="1:31" ht="71.25" customHeight="1">
      <c r="A38" s="41"/>
      <c r="B38" s="56" t="s">
        <v>86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8"/>
      <c r="AD38" s="31"/>
      <c r="AE38" s="30"/>
    </row>
    <row r="39" spans="1:31" ht="155.25" customHeight="1">
      <c r="A39" s="51" t="s">
        <v>74</v>
      </c>
      <c r="B39" s="53" t="s">
        <v>87</v>
      </c>
      <c r="C39" s="40" t="s">
        <v>65</v>
      </c>
      <c r="D39" s="32">
        <f>E39+F39+G39+H39</f>
        <v>498</v>
      </c>
      <c r="E39" s="29">
        <v>498</v>
      </c>
      <c r="F39" s="29">
        <v>0</v>
      </c>
      <c r="G39" s="31">
        <v>0</v>
      </c>
      <c r="H39" s="31">
        <v>0</v>
      </c>
      <c r="I39" s="31"/>
      <c r="J39" s="31"/>
      <c r="K39" s="32">
        <f>L39+M39+N39+O39</f>
        <v>1992</v>
      </c>
      <c r="L39" s="29">
        <v>1992</v>
      </c>
      <c r="M39" s="29">
        <v>0</v>
      </c>
      <c r="N39" s="31">
        <v>0</v>
      </c>
      <c r="O39" s="31">
        <v>0</v>
      </c>
      <c r="P39" s="31"/>
      <c r="Q39" s="31"/>
      <c r="R39" s="32">
        <f>S39+T39+U39+V39</f>
        <v>0</v>
      </c>
      <c r="S39" s="29">
        <v>0</v>
      </c>
      <c r="T39" s="29">
        <v>0</v>
      </c>
      <c r="U39" s="31">
        <v>0</v>
      </c>
      <c r="V39" s="31">
        <v>0</v>
      </c>
      <c r="W39" s="31"/>
      <c r="X39" s="31"/>
      <c r="Y39" s="32">
        <f>Z39+AA39+AB39+AC39</f>
        <v>2490</v>
      </c>
      <c r="Z39" s="29">
        <f>E39+L39</f>
        <v>2490</v>
      </c>
      <c r="AA39" s="29">
        <f aca="true" t="shared" si="12" ref="AA39:AC41">F39+M39</f>
        <v>0</v>
      </c>
      <c r="AB39" s="29">
        <f t="shared" si="12"/>
        <v>0</v>
      </c>
      <c r="AC39" s="29">
        <f t="shared" si="12"/>
        <v>0</v>
      </c>
      <c r="AD39" s="31"/>
      <c r="AE39" s="30"/>
    </row>
    <row r="40" spans="1:32" ht="155.25" customHeight="1">
      <c r="A40" s="72"/>
      <c r="B40" s="54"/>
      <c r="C40" s="40" t="s">
        <v>66</v>
      </c>
      <c r="D40" s="32">
        <f>E40+F40+G40+H40</f>
        <v>278.7</v>
      </c>
      <c r="E40" s="29">
        <v>0</v>
      </c>
      <c r="F40" s="29">
        <f>278.70833-0.00833</f>
        <v>278.7</v>
      </c>
      <c r="G40" s="31">
        <v>0</v>
      </c>
      <c r="H40" s="31">
        <v>0</v>
      </c>
      <c r="I40" s="31"/>
      <c r="J40" s="31"/>
      <c r="K40" s="32">
        <f>L40+M40+N40+O40</f>
        <v>1337.80613</v>
      </c>
      <c r="L40" s="29">
        <v>0</v>
      </c>
      <c r="M40" s="29">
        <v>1337.80613</v>
      </c>
      <c r="N40" s="31">
        <v>0</v>
      </c>
      <c r="O40" s="31">
        <v>0</v>
      </c>
      <c r="P40" s="31"/>
      <c r="Q40" s="31"/>
      <c r="R40" s="32">
        <f>S40+T40+U40+V40</f>
        <v>5351.19387</v>
      </c>
      <c r="S40" s="29">
        <v>0</v>
      </c>
      <c r="T40" s="29">
        <v>5351.19387</v>
      </c>
      <c r="U40" s="31">
        <v>0</v>
      </c>
      <c r="V40" s="31">
        <v>0</v>
      </c>
      <c r="W40" s="31"/>
      <c r="X40" s="31"/>
      <c r="Y40" s="32">
        <f>Z40+AA40+AB40+AC40</f>
        <v>6967.7</v>
      </c>
      <c r="Z40" s="29">
        <f>E40+L40</f>
        <v>0</v>
      </c>
      <c r="AA40" s="29">
        <f>F40+M40+T40</f>
        <v>6967.7</v>
      </c>
      <c r="AB40" s="29">
        <f t="shared" si="12"/>
        <v>0</v>
      </c>
      <c r="AC40" s="29">
        <f t="shared" si="12"/>
        <v>0</v>
      </c>
      <c r="AD40" s="31"/>
      <c r="AE40" s="30"/>
      <c r="AF40" s="48"/>
    </row>
    <row r="41" spans="1:31" ht="155.25" customHeight="1">
      <c r="A41" s="52"/>
      <c r="B41" s="55"/>
      <c r="C41" s="40" t="s">
        <v>67</v>
      </c>
      <c r="D41" s="32">
        <f>E41+F41+G41+H41</f>
        <v>250</v>
      </c>
      <c r="E41" s="29">
        <v>250</v>
      </c>
      <c r="F41" s="29">
        <v>0</v>
      </c>
      <c r="G41" s="31">
        <v>0</v>
      </c>
      <c r="H41" s="31">
        <v>0</v>
      </c>
      <c r="I41" s="31"/>
      <c r="J41" s="31"/>
      <c r="K41" s="32">
        <f>L41+M41+N41+O41</f>
        <v>1000</v>
      </c>
      <c r="L41" s="29">
        <v>1000</v>
      </c>
      <c r="M41" s="29">
        <v>0</v>
      </c>
      <c r="N41" s="31">
        <v>0</v>
      </c>
      <c r="O41" s="31">
        <v>0</v>
      </c>
      <c r="P41" s="31"/>
      <c r="Q41" s="31"/>
      <c r="R41" s="32">
        <f>S41+T41+U41+V41</f>
        <v>0</v>
      </c>
      <c r="S41" s="29">
        <v>0</v>
      </c>
      <c r="T41" s="29">
        <v>0</v>
      </c>
      <c r="U41" s="31">
        <v>0</v>
      </c>
      <c r="V41" s="31">
        <v>0</v>
      </c>
      <c r="W41" s="31"/>
      <c r="X41" s="31"/>
      <c r="Y41" s="32">
        <f>Z41+AA41+AB41+AC41</f>
        <v>1250</v>
      </c>
      <c r="Z41" s="29">
        <f>E41+L41</f>
        <v>1250</v>
      </c>
      <c r="AA41" s="29">
        <f t="shared" si="12"/>
        <v>0</v>
      </c>
      <c r="AB41" s="29">
        <f t="shared" si="12"/>
        <v>0</v>
      </c>
      <c r="AC41" s="29">
        <f t="shared" si="12"/>
        <v>0</v>
      </c>
      <c r="AD41" s="31"/>
      <c r="AE41" s="30"/>
    </row>
    <row r="42" spans="1:32" ht="125.25" customHeight="1">
      <c r="A42" s="69" t="s">
        <v>81</v>
      </c>
      <c r="B42" s="70"/>
      <c r="C42" s="71"/>
      <c r="D42" s="32">
        <f>E42+F42+G42+H42</f>
        <v>145397.29617</v>
      </c>
      <c r="E42" s="32">
        <f>E32+E33+E39+E40+E41</f>
        <v>77912.12028999999</v>
      </c>
      <c r="F42" s="32">
        <f>F32+F33+F39+F40+F41</f>
        <v>67485.17588000001</v>
      </c>
      <c r="G42" s="32">
        <f>G32+G33+G39+G40+G41</f>
        <v>0</v>
      </c>
      <c r="H42" s="32">
        <f>H32+H33+H39+H40+H41</f>
        <v>0</v>
      </c>
      <c r="I42" s="32" t="e">
        <f>I32+#REF!+#REF!+I33+#REF!+I39+I40+I41</f>
        <v>#REF!</v>
      </c>
      <c r="J42" s="32" t="e">
        <f>J32+#REF!+#REF!+J33+#REF!+J39+J40+J41</f>
        <v>#REF!</v>
      </c>
      <c r="K42" s="32">
        <f>L42+M42+N42+O42</f>
        <v>45494.29596</v>
      </c>
      <c r="L42" s="32">
        <f>L32+L33+L39+L40+L41</f>
        <v>21334.1</v>
      </c>
      <c r="M42" s="32">
        <f>M32+M33+M39+M40+M41</f>
        <v>24160.19596</v>
      </c>
      <c r="N42" s="32">
        <f>N32+N33+N39+N40+N41</f>
        <v>0</v>
      </c>
      <c r="O42" s="32">
        <f>O32+O33+O39+O40+O41</f>
        <v>0</v>
      </c>
      <c r="P42" s="32" t="e">
        <f>P32+#REF!+#REF!+P33+#REF!+P39+P40++#REF!+P41+#REF!+#REF!</f>
        <v>#REF!</v>
      </c>
      <c r="Q42" s="32" t="e">
        <f>Q32+#REF!+#REF!+Q33+#REF!+Q39+Q40++#REF!+Q41+#REF!+#REF!</f>
        <v>#REF!</v>
      </c>
      <c r="R42" s="32">
        <f>S42+T42+U42+V42</f>
        <v>5351.19387</v>
      </c>
      <c r="S42" s="32">
        <f aca="true" t="shared" si="13" ref="S42:X42">S32+S33+S39+S40+S41</f>
        <v>0</v>
      </c>
      <c r="T42" s="32">
        <f t="shared" si="13"/>
        <v>5351.19387</v>
      </c>
      <c r="U42" s="32">
        <f t="shared" si="13"/>
        <v>0</v>
      </c>
      <c r="V42" s="32">
        <f t="shared" si="13"/>
        <v>0</v>
      </c>
      <c r="W42" s="32" t="e">
        <f t="shared" si="13"/>
        <v>#REF!</v>
      </c>
      <c r="X42" s="32" t="e">
        <f t="shared" si="13"/>
        <v>#REF!</v>
      </c>
      <c r="Y42" s="32">
        <f>Z42+AA42+AB42+AC42</f>
        <v>196242.78600000002</v>
      </c>
      <c r="Z42" s="32">
        <f>Z32+Z33+Z39+Z40+Z41</f>
        <v>99246.22029</v>
      </c>
      <c r="AA42" s="32">
        <f>AA32+AA33+AA39+AA40+AA41</f>
        <v>96996.56571000001</v>
      </c>
      <c r="AB42" s="32">
        <f>AB32+AB33+AB39+AB40+AB41</f>
        <v>0</v>
      </c>
      <c r="AC42" s="32">
        <f>AC32+AC33+AC39+AC40+AC41</f>
        <v>0</v>
      </c>
      <c r="AD42" s="32" t="e">
        <f>AD32+#REF!+#REF!+AD33+#REF!+#REF!</f>
        <v>#REF!</v>
      </c>
      <c r="AE42" s="32" t="e">
        <f>AE32+#REF!+#REF!+AE33+#REF!+#REF!</f>
        <v>#REF!</v>
      </c>
      <c r="AF42" s="48"/>
    </row>
    <row r="43" spans="1:31" ht="41.25" customHeight="1">
      <c r="A43" s="66" t="s">
        <v>71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ht="266.25" customHeight="1">
      <c r="A44" s="42" t="s">
        <v>10</v>
      </c>
      <c r="B44" s="42" t="s">
        <v>119</v>
      </c>
      <c r="C44" s="40" t="s">
        <v>118</v>
      </c>
      <c r="D44" s="28">
        <f>E44+F44+G44+H44+I44+J44</f>
        <v>74901.33344</v>
      </c>
      <c r="E44" s="31">
        <f>8166.66659+29240.2481+1823.5769</f>
        <v>39230.49159</v>
      </c>
      <c r="F44" s="33">
        <f>7997.14168+1917.95041+26990.30497-2.48931-1335.75028+320-11.87395-238.96265+34.52098</f>
        <v>35670.841850000004</v>
      </c>
      <c r="G44" s="30">
        <v>0</v>
      </c>
      <c r="H44" s="30">
        <v>0</v>
      </c>
      <c r="I44" s="31"/>
      <c r="J44" s="30"/>
      <c r="K44" s="28">
        <f>L44+M44+N44+O44+P44+Q44</f>
        <v>1842.11763</v>
      </c>
      <c r="L44" s="31">
        <f>400+1100+50</f>
        <v>1550</v>
      </c>
      <c r="M44" s="33">
        <f>292.11763</f>
        <v>292.11763</v>
      </c>
      <c r="N44" s="30">
        <v>0</v>
      </c>
      <c r="O44" s="30">
        <v>0</v>
      </c>
      <c r="P44" s="31"/>
      <c r="Q44" s="30"/>
      <c r="R44" s="28">
        <f>S44+T44+U44+V44+W44+X44</f>
        <v>0</v>
      </c>
      <c r="S44" s="31">
        <v>0</v>
      </c>
      <c r="T44" s="33">
        <v>0</v>
      </c>
      <c r="U44" s="30">
        <v>0</v>
      </c>
      <c r="V44" s="30">
        <v>0</v>
      </c>
      <c r="W44" s="31">
        <v>0</v>
      </c>
      <c r="X44" s="30">
        <v>0</v>
      </c>
      <c r="Y44" s="28">
        <f>Z44+AA44+AB44+AC44+AD44+AE44</f>
        <v>76743.45107000001</v>
      </c>
      <c r="Z44" s="31">
        <f aca="true" t="shared" si="14" ref="Z44:AE44">E44+L44+S44</f>
        <v>40780.49159</v>
      </c>
      <c r="AA44" s="31">
        <f t="shared" si="14"/>
        <v>35962.959480000005</v>
      </c>
      <c r="AB44" s="31">
        <f t="shared" si="14"/>
        <v>0</v>
      </c>
      <c r="AC44" s="31">
        <f t="shared" si="14"/>
        <v>0</v>
      </c>
      <c r="AD44" s="31">
        <f t="shared" si="14"/>
        <v>0</v>
      </c>
      <c r="AE44" s="31">
        <f t="shared" si="14"/>
        <v>0</v>
      </c>
    </row>
    <row r="45" spans="1:31" ht="152.25" customHeight="1">
      <c r="A45" s="42" t="s">
        <v>93</v>
      </c>
      <c r="B45" s="42" t="s">
        <v>117</v>
      </c>
      <c r="C45" s="40" t="s">
        <v>118</v>
      </c>
      <c r="D45" s="28">
        <f>E45+F45+G45+H45</f>
        <v>818.1269699999999</v>
      </c>
      <c r="E45" s="31">
        <f>E46+E47</f>
        <v>680.7528299999999</v>
      </c>
      <c r="F45" s="31">
        <f>F46+F47</f>
        <v>137.37414</v>
      </c>
      <c r="G45" s="31">
        <f>G46</f>
        <v>0</v>
      </c>
      <c r="H45" s="31">
        <f>H46</f>
        <v>0</v>
      </c>
      <c r="I45" s="31" t="e">
        <f>I46+#REF!</f>
        <v>#REF!</v>
      </c>
      <c r="J45" s="31" t="e">
        <f>J46+#REF!</f>
        <v>#REF!</v>
      </c>
      <c r="K45" s="28">
        <f>L45+M45+N45+O45+P45+Q45</f>
        <v>180.28</v>
      </c>
      <c r="L45" s="31">
        <f>L46+L47</f>
        <v>109.1</v>
      </c>
      <c r="M45" s="31">
        <f>M46+M47</f>
        <v>71.18</v>
      </c>
      <c r="N45" s="31">
        <f>N46+N47</f>
        <v>0</v>
      </c>
      <c r="O45" s="31">
        <f>O46+O47</f>
        <v>0</v>
      </c>
      <c r="P45" s="31"/>
      <c r="Q45" s="30"/>
      <c r="R45" s="28">
        <f>S45+T45+U45+V45+W45+X45</f>
        <v>583.02</v>
      </c>
      <c r="S45" s="31">
        <f aca="true" t="shared" si="15" ref="S45:X45">S46+S47</f>
        <v>298.3</v>
      </c>
      <c r="T45" s="31">
        <f t="shared" si="15"/>
        <v>284.72</v>
      </c>
      <c r="U45" s="31">
        <f t="shared" si="15"/>
        <v>0</v>
      </c>
      <c r="V45" s="31">
        <f t="shared" si="15"/>
        <v>0</v>
      </c>
      <c r="W45" s="31">
        <f t="shared" si="15"/>
        <v>0</v>
      </c>
      <c r="X45" s="31">
        <f t="shared" si="15"/>
        <v>0</v>
      </c>
      <c r="Y45" s="28">
        <f>Z45+AA45+AB45+AC45</f>
        <v>1581.42697</v>
      </c>
      <c r="Z45" s="31">
        <f>E45+L45+S45</f>
        <v>1088.15283</v>
      </c>
      <c r="AA45" s="31">
        <f aca="true" t="shared" si="16" ref="AA45:AE46">F45+M45+T45</f>
        <v>493.27414000000005</v>
      </c>
      <c r="AB45" s="31">
        <f t="shared" si="16"/>
        <v>0</v>
      </c>
      <c r="AC45" s="31">
        <f t="shared" si="16"/>
        <v>0</v>
      </c>
      <c r="AD45" s="31" t="e">
        <f t="shared" si="16"/>
        <v>#REF!</v>
      </c>
      <c r="AE45" s="31" t="e">
        <f t="shared" si="16"/>
        <v>#REF!</v>
      </c>
    </row>
    <row r="46" spans="1:31" ht="152.25" customHeight="1">
      <c r="A46" s="43" t="s">
        <v>94</v>
      </c>
      <c r="B46" s="42" t="s">
        <v>90</v>
      </c>
      <c r="C46" s="40" t="s">
        <v>118</v>
      </c>
      <c r="D46" s="28">
        <f>E46+F46+G46+H46+I46+J46</f>
        <v>712.1519699999999</v>
      </c>
      <c r="E46" s="31">
        <f>237.48242+378.46439+47.80602</f>
        <v>663.7528299999999</v>
      </c>
      <c r="F46" s="33">
        <f>12.4+1.55+34.44914</f>
        <v>48.39914</v>
      </c>
      <c r="G46" s="30">
        <v>0</v>
      </c>
      <c r="H46" s="30">
        <v>0</v>
      </c>
      <c r="I46" s="31"/>
      <c r="J46" s="30"/>
      <c r="K46" s="28">
        <f>L46+M46+N46+O46+P46+Q46</f>
        <v>0</v>
      </c>
      <c r="L46" s="31">
        <v>0</v>
      </c>
      <c r="M46" s="33">
        <v>0</v>
      </c>
      <c r="N46" s="30">
        <v>0</v>
      </c>
      <c r="O46" s="30">
        <v>0</v>
      </c>
      <c r="P46" s="31"/>
      <c r="Q46" s="30"/>
      <c r="R46" s="28">
        <f>S46+T46+U46+V46+W46+X46</f>
        <v>0</v>
      </c>
      <c r="S46" s="31">
        <v>0</v>
      </c>
      <c r="T46" s="33">
        <v>0</v>
      </c>
      <c r="U46" s="30">
        <v>0</v>
      </c>
      <c r="V46" s="30">
        <v>0</v>
      </c>
      <c r="W46" s="31">
        <v>0</v>
      </c>
      <c r="X46" s="30">
        <v>0</v>
      </c>
      <c r="Y46" s="28">
        <f>Z46+AA46+AB46+AC46+AD46+AE46</f>
        <v>712.1519699999999</v>
      </c>
      <c r="Z46" s="31">
        <f>E46+L46+S46</f>
        <v>663.7528299999999</v>
      </c>
      <c r="AA46" s="31">
        <f t="shared" si="16"/>
        <v>48.39914</v>
      </c>
      <c r="AB46" s="31">
        <f t="shared" si="16"/>
        <v>0</v>
      </c>
      <c r="AC46" s="31">
        <f t="shared" si="16"/>
        <v>0</v>
      </c>
      <c r="AD46" s="31">
        <f t="shared" si="16"/>
        <v>0</v>
      </c>
      <c r="AE46" s="31">
        <f t="shared" si="16"/>
        <v>0</v>
      </c>
    </row>
    <row r="47" spans="1:31" ht="152.25" customHeight="1">
      <c r="A47" s="43" t="s">
        <v>98</v>
      </c>
      <c r="B47" s="42" t="s">
        <v>105</v>
      </c>
      <c r="C47" s="40" t="s">
        <v>72</v>
      </c>
      <c r="D47" s="28">
        <f>E47+F47</f>
        <v>105.975</v>
      </c>
      <c r="E47" s="31">
        <v>17</v>
      </c>
      <c r="F47" s="33">
        <v>88.975</v>
      </c>
      <c r="G47" s="30">
        <v>0</v>
      </c>
      <c r="H47" s="30">
        <v>0</v>
      </c>
      <c r="I47" s="31"/>
      <c r="J47" s="30"/>
      <c r="K47" s="28">
        <f>L47+M47+N47+O47+P47+Q47</f>
        <v>180.28</v>
      </c>
      <c r="L47" s="31">
        <v>109.1</v>
      </c>
      <c r="M47" s="33">
        <v>71.18</v>
      </c>
      <c r="N47" s="30">
        <v>0</v>
      </c>
      <c r="O47" s="30">
        <v>0</v>
      </c>
      <c r="P47" s="31"/>
      <c r="Q47" s="30"/>
      <c r="R47" s="28">
        <f>S47+T47+U47+V47+W47+X47</f>
        <v>583.02</v>
      </c>
      <c r="S47" s="31">
        <v>298.3</v>
      </c>
      <c r="T47" s="33">
        <v>284.72</v>
      </c>
      <c r="U47" s="30">
        <v>0</v>
      </c>
      <c r="V47" s="30">
        <v>0</v>
      </c>
      <c r="W47" s="31">
        <v>0</v>
      </c>
      <c r="X47" s="30">
        <v>0</v>
      </c>
      <c r="Y47" s="28">
        <f>Z47+AA47+AB47+AC47+AD47+AE47</f>
        <v>869.275</v>
      </c>
      <c r="Z47" s="31">
        <f aca="true" t="shared" si="17" ref="Z47:AE47">E47+L47+S47</f>
        <v>424.4</v>
      </c>
      <c r="AA47" s="31">
        <f t="shared" si="17"/>
        <v>444.875</v>
      </c>
      <c r="AB47" s="31">
        <f>N47+U47</f>
        <v>0</v>
      </c>
      <c r="AC47" s="31">
        <f>O47+V47</f>
        <v>0</v>
      </c>
      <c r="AD47" s="31">
        <f t="shared" si="17"/>
        <v>0</v>
      </c>
      <c r="AE47" s="31">
        <f t="shared" si="17"/>
        <v>0</v>
      </c>
    </row>
    <row r="48" spans="1:31" ht="31.5" customHeight="1">
      <c r="A48" s="22"/>
      <c r="B48" s="56" t="s">
        <v>73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8"/>
    </row>
    <row r="49" spans="1:31" ht="117.75" customHeight="1">
      <c r="A49" s="41" t="s">
        <v>74</v>
      </c>
      <c r="B49" s="40" t="s">
        <v>75</v>
      </c>
      <c r="C49" s="40" t="s">
        <v>72</v>
      </c>
      <c r="D49" s="28">
        <f>2500+F49+G49+H49+I49+J49</f>
        <v>2708.4</v>
      </c>
      <c r="E49" s="31">
        <v>2500</v>
      </c>
      <c r="F49" s="33">
        <v>208.4</v>
      </c>
      <c r="G49" s="30">
        <v>0</v>
      </c>
      <c r="H49" s="30">
        <v>0</v>
      </c>
      <c r="I49" s="31"/>
      <c r="J49" s="30">
        <v>0</v>
      </c>
      <c r="K49" s="28">
        <f>L49+M49+N49+P49+Q49</f>
        <v>0</v>
      </c>
      <c r="L49" s="31">
        <v>0</v>
      </c>
      <c r="M49" s="33">
        <v>0</v>
      </c>
      <c r="N49" s="30">
        <v>0</v>
      </c>
      <c r="O49" s="30">
        <v>0</v>
      </c>
      <c r="P49" s="31">
        <v>0</v>
      </c>
      <c r="Q49" s="30">
        <v>0</v>
      </c>
      <c r="R49" s="28">
        <f>S49+T49+U49+V49+W49+X49</f>
        <v>15000</v>
      </c>
      <c r="S49" s="31">
        <v>10000</v>
      </c>
      <c r="T49" s="33">
        <v>5000</v>
      </c>
      <c r="U49" s="30">
        <v>0</v>
      </c>
      <c r="V49" s="30">
        <v>0</v>
      </c>
      <c r="W49" s="31"/>
      <c r="X49" s="30">
        <v>0</v>
      </c>
      <c r="Y49" s="28">
        <f>Z49+AA49+AB49+AC49+AD49+AE49</f>
        <v>17708.4</v>
      </c>
      <c r="Z49" s="31">
        <f>2500+L49+S49</f>
        <v>12500</v>
      </c>
      <c r="AA49" s="31">
        <f aca="true" t="shared" si="18" ref="AA49:AE51">F49+M49+T49</f>
        <v>5208.4</v>
      </c>
      <c r="AB49" s="31">
        <f t="shared" si="18"/>
        <v>0</v>
      </c>
      <c r="AC49" s="31">
        <f t="shared" si="18"/>
        <v>0</v>
      </c>
      <c r="AD49" s="31">
        <f t="shared" si="18"/>
        <v>0</v>
      </c>
      <c r="AE49" s="31">
        <f t="shared" si="18"/>
        <v>0</v>
      </c>
    </row>
    <row r="50" spans="1:31" ht="117.75" customHeight="1" hidden="1">
      <c r="A50" s="41" t="s">
        <v>74</v>
      </c>
      <c r="B50" s="44" t="s">
        <v>99</v>
      </c>
      <c r="C50" s="40" t="s">
        <v>88</v>
      </c>
      <c r="D50" s="28">
        <f>E50+F50+G50+H50</f>
        <v>0</v>
      </c>
      <c r="E50" s="31">
        <v>0</v>
      </c>
      <c r="F50" s="33">
        <v>0</v>
      </c>
      <c r="G50" s="30">
        <v>0</v>
      </c>
      <c r="H50" s="30">
        <v>0</v>
      </c>
      <c r="I50" s="31"/>
      <c r="J50" s="30"/>
      <c r="K50" s="28">
        <f>L50+M50+N50+O50</f>
        <v>0</v>
      </c>
      <c r="L50" s="31">
        <v>0</v>
      </c>
      <c r="M50" s="33">
        <v>0</v>
      </c>
      <c r="N50" s="30">
        <v>0</v>
      </c>
      <c r="O50" s="30">
        <v>0</v>
      </c>
      <c r="P50" s="31"/>
      <c r="Q50" s="30"/>
      <c r="R50" s="28">
        <f>S50+T50+U50+V50</f>
        <v>0</v>
      </c>
      <c r="S50" s="31">
        <v>0</v>
      </c>
      <c r="T50" s="33">
        <v>0</v>
      </c>
      <c r="U50" s="30">
        <v>0</v>
      </c>
      <c r="V50" s="30">
        <v>0</v>
      </c>
      <c r="W50" s="31"/>
      <c r="X50" s="30"/>
      <c r="Y50" s="28">
        <f>Z50+AA50+AB50+AC50</f>
        <v>0</v>
      </c>
      <c r="Z50" s="31">
        <v>0</v>
      </c>
      <c r="AA50" s="31">
        <f t="shared" si="18"/>
        <v>0</v>
      </c>
      <c r="AB50" s="31">
        <f>+N50+U50</f>
        <v>0</v>
      </c>
      <c r="AC50" s="31">
        <f t="shared" si="18"/>
        <v>0</v>
      </c>
      <c r="AD50" s="31"/>
      <c r="AE50" s="31"/>
    </row>
    <row r="51" spans="1:32" ht="126" customHeight="1">
      <c r="A51" s="69" t="s">
        <v>81</v>
      </c>
      <c r="B51" s="70"/>
      <c r="C51" s="71"/>
      <c r="D51" s="32">
        <f>E51+F51+G51+H51</f>
        <v>78427.86041</v>
      </c>
      <c r="E51" s="32">
        <f>E44+E45+E49+E50</f>
        <v>42411.244419999995</v>
      </c>
      <c r="F51" s="32">
        <f>F44+F45+F49+F50</f>
        <v>36016.615990000006</v>
      </c>
      <c r="G51" s="32">
        <f>G44+G45+G49</f>
        <v>0</v>
      </c>
      <c r="H51" s="32">
        <f>H44+H45+H49+H50</f>
        <v>0</v>
      </c>
      <c r="I51" s="32" t="e">
        <f>I44+#REF!+#REF!+I49</f>
        <v>#REF!</v>
      </c>
      <c r="J51" s="32" t="e">
        <f>J44+#REF!+#REF!+J49</f>
        <v>#REF!</v>
      </c>
      <c r="K51" s="32">
        <f>L51+M51+N51+O51</f>
        <v>2022.39763</v>
      </c>
      <c r="L51" s="32">
        <f>L44+L45+L49+L50</f>
        <v>1659.1</v>
      </c>
      <c r="M51" s="32">
        <f>M44+M45+M49+M50</f>
        <v>363.29763</v>
      </c>
      <c r="N51" s="32">
        <f>N44+N45+N49+N50</f>
        <v>0</v>
      </c>
      <c r="O51" s="32">
        <f>O44+O45+O49+O50</f>
        <v>0</v>
      </c>
      <c r="P51" s="32" t="e">
        <f>P44+#REF!+#REF!+P49+P50+#REF!+#REF!+P45</f>
        <v>#REF!</v>
      </c>
      <c r="Q51" s="32" t="e">
        <f>Q44+#REF!+#REF!+Q49+Q50+#REF!+#REF!+Q45</f>
        <v>#REF!</v>
      </c>
      <c r="R51" s="32">
        <f>S51+T51+U51+V51</f>
        <v>15583.02</v>
      </c>
      <c r="S51" s="32">
        <f>S44+S45+S49+S50</f>
        <v>10298.3</v>
      </c>
      <c r="T51" s="32">
        <f>T44+T45+T49+T50</f>
        <v>5284.72</v>
      </c>
      <c r="U51" s="32">
        <f>U44+U45+U49+U50</f>
        <v>0</v>
      </c>
      <c r="V51" s="32">
        <f>V44+V45+V49+V50</f>
        <v>0</v>
      </c>
      <c r="W51" s="32" t="e">
        <f>W44+#REF!+#REF!+W49</f>
        <v>#REF!</v>
      </c>
      <c r="X51" s="32" t="e">
        <f>X44+#REF!+#REF!+X49</f>
        <v>#REF!</v>
      </c>
      <c r="Y51" s="32">
        <f>Z51+AA51+AB51+AC51</f>
        <v>96033.27804</v>
      </c>
      <c r="Z51" s="32">
        <f>Z44+Z45+Z49+Z50</f>
        <v>54368.64442</v>
      </c>
      <c r="AA51" s="32">
        <f>AA44+AA45+AA49+AA50</f>
        <v>41664.63362000001</v>
      </c>
      <c r="AB51" s="32">
        <f>AB44+AB45+AB49+AB50</f>
        <v>0</v>
      </c>
      <c r="AC51" s="32">
        <f>AC44+AC45+AC49+AC50</f>
        <v>0</v>
      </c>
      <c r="AD51" s="32" t="e">
        <f t="shared" si="18"/>
        <v>#REF!</v>
      </c>
      <c r="AE51" s="32" t="e">
        <f t="shared" si="18"/>
        <v>#REF!</v>
      </c>
      <c r="AF51" s="48"/>
    </row>
    <row r="52" spans="1:32" ht="23.25">
      <c r="A52" s="66" t="s">
        <v>76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48"/>
    </row>
    <row r="53" spans="1:31" ht="141.75" customHeight="1">
      <c r="A53" s="40" t="s">
        <v>33</v>
      </c>
      <c r="B53" s="40" t="s">
        <v>77</v>
      </c>
      <c r="C53" s="40" t="s">
        <v>78</v>
      </c>
      <c r="D53" s="28">
        <f>E53+F53+G53+H53+I53+J53</f>
        <v>18670.98269</v>
      </c>
      <c r="E53" s="31">
        <f>5009.9655+4289.60699-5.35532</f>
        <v>9294.21717</v>
      </c>
      <c r="F53" s="33">
        <f>9237.16587-0.40035+140</f>
        <v>9376.76552</v>
      </c>
      <c r="G53" s="30">
        <v>0</v>
      </c>
      <c r="H53" s="30">
        <v>0</v>
      </c>
      <c r="I53" s="31"/>
      <c r="J53" s="30"/>
      <c r="K53" s="28">
        <f>L53+M53+N53+O53+P53+Q53</f>
        <v>333</v>
      </c>
      <c r="L53" s="31">
        <v>0</v>
      </c>
      <c r="M53" s="33">
        <f>333</f>
        <v>333</v>
      </c>
      <c r="N53" s="30">
        <v>0</v>
      </c>
      <c r="O53" s="30">
        <v>0</v>
      </c>
      <c r="P53" s="31">
        <v>0</v>
      </c>
      <c r="Q53" s="30">
        <v>0</v>
      </c>
      <c r="R53" s="28">
        <f>S53+T53+U53+V53+W53+X53</f>
        <v>0</v>
      </c>
      <c r="S53" s="31">
        <v>0</v>
      </c>
      <c r="T53" s="33">
        <v>0</v>
      </c>
      <c r="U53" s="30">
        <v>0</v>
      </c>
      <c r="V53" s="30">
        <v>0</v>
      </c>
      <c r="W53" s="31">
        <v>0</v>
      </c>
      <c r="X53" s="30">
        <v>0</v>
      </c>
      <c r="Y53" s="28">
        <f>Z53+AA53+AB53+AC53+AD53+AE53</f>
        <v>19003.98269</v>
      </c>
      <c r="Z53" s="31">
        <f>E53+L53+S53</f>
        <v>9294.21717</v>
      </c>
      <c r="AA53" s="31">
        <f aca="true" t="shared" si="19" ref="AA53:AE54">F53+M53+T53</f>
        <v>9709.76552</v>
      </c>
      <c r="AB53" s="31">
        <f t="shared" si="19"/>
        <v>0</v>
      </c>
      <c r="AC53" s="31">
        <f t="shared" si="19"/>
        <v>0</v>
      </c>
      <c r="AD53" s="31">
        <f t="shared" si="19"/>
        <v>0</v>
      </c>
      <c r="AE53" s="31">
        <f t="shared" si="19"/>
        <v>0</v>
      </c>
    </row>
    <row r="54" spans="1:31" ht="137.25" customHeight="1">
      <c r="A54" s="40" t="s">
        <v>32</v>
      </c>
      <c r="B54" s="40" t="s">
        <v>79</v>
      </c>
      <c r="C54" s="40" t="s">
        <v>80</v>
      </c>
      <c r="D54" s="28">
        <f>E54+F54+G54+H54+I54+J54</f>
        <v>31163.807350000003</v>
      </c>
      <c r="E54" s="31">
        <v>14603.45541</v>
      </c>
      <c r="F54" s="33">
        <f>16037.69924-41.4791+350+214.1318</f>
        <v>16560.35194</v>
      </c>
      <c r="G54" s="30">
        <v>0</v>
      </c>
      <c r="H54" s="30">
        <v>0</v>
      </c>
      <c r="I54" s="31"/>
      <c r="J54" s="30"/>
      <c r="K54" s="28">
        <f>L54+M54+N54+O54+P54+Q54</f>
        <v>502.06975</v>
      </c>
      <c r="L54" s="31">
        <v>0</v>
      </c>
      <c r="M54" s="33">
        <f>502.06975</f>
        <v>502.06975</v>
      </c>
      <c r="N54" s="30">
        <v>0</v>
      </c>
      <c r="O54" s="30">
        <v>0</v>
      </c>
      <c r="P54" s="31"/>
      <c r="Q54" s="30">
        <v>0</v>
      </c>
      <c r="R54" s="28">
        <f>AG54+AH54+AI54+AJ54+AK54+AL54</f>
        <v>0</v>
      </c>
      <c r="S54" s="31">
        <v>0</v>
      </c>
      <c r="T54" s="33">
        <v>0</v>
      </c>
      <c r="U54" s="30">
        <v>0</v>
      </c>
      <c r="V54" s="30">
        <v>0</v>
      </c>
      <c r="W54" s="31">
        <v>0</v>
      </c>
      <c r="X54" s="30">
        <v>0</v>
      </c>
      <c r="Y54" s="28">
        <f>Z54+AA54+AB54+AC54+AD54+AE54</f>
        <v>31665.877099999998</v>
      </c>
      <c r="Z54" s="31">
        <f>E54+L54+S54</f>
        <v>14603.45541</v>
      </c>
      <c r="AA54" s="31">
        <f t="shared" si="19"/>
        <v>17062.42169</v>
      </c>
      <c r="AB54" s="31">
        <f t="shared" si="19"/>
        <v>0</v>
      </c>
      <c r="AC54" s="31">
        <f t="shared" si="19"/>
        <v>0</v>
      </c>
      <c r="AD54" s="31">
        <f t="shared" si="19"/>
        <v>0</v>
      </c>
      <c r="AE54" s="31">
        <f t="shared" si="19"/>
        <v>0</v>
      </c>
    </row>
    <row r="55" spans="1:31" ht="24.75" customHeight="1" hidden="1">
      <c r="A55" s="40"/>
      <c r="B55" s="40"/>
      <c r="C55" s="40"/>
      <c r="D55" s="28"/>
      <c r="E55" s="31"/>
      <c r="F55" s="33"/>
      <c r="G55" s="30"/>
      <c r="H55" s="30"/>
      <c r="I55" s="31"/>
      <c r="J55" s="30"/>
      <c r="K55" s="28">
        <f>L55+M55+N55+O55+P55+Q55</f>
        <v>0</v>
      </c>
      <c r="L55" s="31"/>
      <c r="M55" s="33"/>
      <c r="N55" s="30"/>
      <c r="O55" s="30"/>
      <c r="P55" s="31"/>
      <c r="Q55" s="30"/>
      <c r="R55" s="28">
        <f>AG55+AH55+AI55+AJ55+AK55+AL55</f>
        <v>0</v>
      </c>
      <c r="S55" s="31"/>
      <c r="T55" s="33"/>
      <c r="U55" s="30"/>
      <c r="V55" s="30"/>
      <c r="W55" s="31"/>
      <c r="X55" s="30"/>
      <c r="Y55" s="28">
        <f>Z55+AA55+AB55+AC55+AD55+AE55</f>
        <v>0</v>
      </c>
      <c r="Z55" s="31"/>
      <c r="AA55" s="33"/>
      <c r="AB55" s="30"/>
      <c r="AC55" s="30"/>
      <c r="AD55" s="31"/>
      <c r="AE55" s="30"/>
    </row>
    <row r="56" spans="1:31" ht="0.75" customHeight="1" hidden="1">
      <c r="A56" s="41" t="s">
        <v>31</v>
      </c>
      <c r="B56" s="40" t="s">
        <v>12</v>
      </c>
      <c r="C56" s="40" t="s">
        <v>11</v>
      </c>
      <c r="D56" s="28">
        <f>E56+F56+G56+H56+I56+J56</f>
        <v>0</v>
      </c>
      <c r="E56" s="31">
        <v>0</v>
      </c>
      <c r="F56" s="33">
        <v>0</v>
      </c>
      <c r="G56" s="30">
        <v>0</v>
      </c>
      <c r="H56" s="30">
        <v>0</v>
      </c>
      <c r="I56" s="31">
        <v>0</v>
      </c>
      <c r="J56" s="30">
        <v>0</v>
      </c>
      <c r="K56" s="28">
        <f>L56+M56+N56+O56+P56+Q56</f>
        <v>0</v>
      </c>
      <c r="L56" s="31">
        <v>0</v>
      </c>
      <c r="M56" s="33">
        <v>0</v>
      </c>
      <c r="N56" s="30">
        <v>0</v>
      </c>
      <c r="O56" s="30">
        <v>0</v>
      </c>
      <c r="P56" s="31">
        <v>0</v>
      </c>
      <c r="Q56" s="30">
        <v>0</v>
      </c>
      <c r="R56" s="28">
        <f>AG56+AH56+AI56+AJ56+AK56+AL56</f>
        <v>0</v>
      </c>
      <c r="S56" s="31">
        <v>0</v>
      </c>
      <c r="T56" s="33">
        <v>0</v>
      </c>
      <c r="U56" s="30">
        <v>0</v>
      </c>
      <c r="V56" s="30">
        <v>0</v>
      </c>
      <c r="W56" s="31">
        <v>0</v>
      </c>
      <c r="X56" s="30">
        <v>0</v>
      </c>
      <c r="Y56" s="28">
        <f>Z56+AA56+AB56+AC56+AD56+AE56</f>
        <v>0</v>
      </c>
      <c r="Z56" s="31">
        <v>0</v>
      </c>
      <c r="AA56" s="33">
        <v>0</v>
      </c>
      <c r="AB56" s="30">
        <v>0</v>
      </c>
      <c r="AC56" s="30">
        <v>0</v>
      </c>
      <c r="AD56" s="31">
        <v>0</v>
      </c>
      <c r="AE56" s="30">
        <v>0</v>
      </c>
    </row>
    <row r="57" spans="1:31" ht="141.75" customHeight="1">
      <c r="A57" s="40" t="s">
        <v>95</v>
      </c>
      <c r="B57" s="40" t="s">
        <v>96</v>
      </c>
      <c r="C57" s="40" t="s">
        <v>121</v>
      </c>
      <c r="D57" s="28">
        <f>E57+F57+G57+H57+I57+J57</f>
        <v>910.6332500000001</v>
      </c>
      <c r="E57" s="31">
        <f>347.2866+549.59661+8.56872</f>
        <v>905.4519300000001</v>
      </c>
      <c r="F57" s="33">
        <v>5.18132</v>
      </c>
      <c r="G57" s="30">
        <v>0</v>
      </c>
      <c r="H57" s="30">
        <v>0</v>
      </c>
      <c r="I57" s="31"/>
      <c r="J57" s="30"/>
      <c r="K57" s="28">
        <f>L57+M57+N57+O57+P57+Q57</f>
        <v>0</v>
      </c>
      <c r="L57" s="31">
        <v>0</v>
      </c>
      <c r="M57" s="33">
        <v>0</v>
      </c>
      <c r="N57" s="30">
        <v>0</v>
      </c>
      <c r="O57" s="30">
        <v>0</v>
      </c>
      <c r="P57" s="31">
        <v>0</v>
      </c>
      <c r="Q57" s="30">
        <v>0</v>
      </c>
      <c r="R57" s="28">
        <f>S57+T57+U57+V57+W57+X57</f>
        <v>0</v>
      </c>
      <c r="S57" s="31">
        <v>0</v>
      </c>
      <c r="T57" s="33">
        <v>0</v>
      </c>
      <c r="U57" s="30">
        <v>0</v>
      </c>
      <c r="V57" s="30">
        <v>0</v>
      </c>
      <c r="W57" s="31">
        <v>0</v>
      </c>
      <c r="X57" s="30">
        <v>0</v>
      </c>
      <c r="Y57" s="28">
        <f>Z57+AA57+AB57+AC57+AD57+AE57</f>
        <v>910.6332500000001</v>
      </c>
      <c r="Z57" s="31">
        <f aca="true" t="shared" si="20" ref="Z57:AE57">E57+L57+S57</f>
        <v>905.4519300000001</v>
      </c>
      <c r="AA57" s="31">
        <f t="shared" si="20"/>
        <v>5.18132</v>
      </c>
      <c r="AB57" s="31">
        <f t="shared" si="20"/>
        <v>0</v>
      </c>
      <c r="AC57" s="31">
        <f t="shared" si="20"/>
        <v>0</v>
      </c>
      <c r="AD57" s="31">
        <f t="shared" si="20"/>
        <v>0</v>
      </c>
      <c r="AE57" s="31">
        <f t="shared" si="20"/>
        <v>0</v>
      </c>
    </row>
    <row r="58" spans="1:31" ht="133.5" customHeight="1">
      <c r="A58" s="69" t="s">
        <v>81</v>
      </c>
      <c r="B58" s="70"/>
      <c r="C58" s="71"/>
      <c r="D58" s="28">
        <f>D53+D54+D57</f>
        <v>50745.423290000006</v>
      </c>
      <c r="E58" s="28">
        <f aca="true" t="shared" si="21" ref="E58:AE58">E53+E54+E57</f>
        <v>24803.124509999998</v>
      </c>
      <c r="F58" s="28">
        <f t="shared" si="21"/>
        <v>25942.29878</v>
      </c>
      <c r="G58" s="28">
        <f t="shared" si="21"/>
        <v>0</v>
      </c>
      <c r="H58" s="28">
        <f t="shared" si="21"/>
        <v>0</v>
      </c>
      <c r="I58" s="28">
        <f t="shared" si="21"/>
        <v>0</v>
      </c>
      <c r="J58" s="28">
        <f t="shared" si="21"/>
        <v>0</v>
      </c>
      <c r="K58" s="28">
        <f t="shared" si="21"/>
        <v>835.06975</v>
      </c>
      <c r="L58" s="28">
        <f t="shared" si="21"/>
        <v>0</v>
      </c>
      <c r="M58" s="28">
        <f t="shared" si="21"/>
        <v>835.06975</v>
      </c>
      <c r="N58" s="28">
        <f t="shared" si="21"/>
        <v>0</v>
      </c>
      <c r="O58" s="28">
        <f t="shared" si="21"/>
        <v>0</v>
      </c>
      <c r="P58" s="28">
        <f t="shared" si="21"/>
        <v>0</v>
      </c>
      <c r="Q58" s="28">
        <f t="shared" si="21"/>
        <v>0</v>
      </c>
      <c r="R58" s="28">
        <f t="shared" si="21"/>
        <v>0</v>
      </c>
      <c r="S58" s="28">
        <f t="shared" si="21"/>
        <v>0</v>
      </c>
      <c r="T58" s="28">
        <f t="shared" si="21"/>
        <v>0</v>
      </c>
      <c r="U58" s="28">
        <f t="shared" si="21"/>
        <v>0</v>
      </c>
      <c r="V58" s="28">
        <f t="shared" si="21"/>
        <v>0</v>
      </c>
      <c r="W58" s="28">
        <f t="shared" si="21"/>
        <v>0</v>
      </c>
      <c r="X58" s="28">
        <f t="shared" si="21"/>
        <v>0</v>
      </c>
      <c r="Y58" s="28">
        <f t="shared" si="21"/>
        <v>51580.49304</v>
      </c>
      <c r="Z58" s="28">
        <f t="shared" si="21"/>
        <v>24803.124509999998</v>
      </c>
      <c r="AA58" s="28">
        <f t="shared" si="21"/>
        <v>26777.36853</v>
      </c>
      <c r="AB58" s="28">
        <f t="shared" si="21"/>
        <v>0</v>
      </c>
      <c r="AC58" s="28">
        <f t="shared" si="21"/>
        <v>0</v>
      </c>
      <c r="AD58" s="28">
        <f t="shared" si="21"/>
        <v>0</v>
      </c>
      <c r="AE58" s="28">
        <f t="shared" si="21"/>
        <v>0</v>
      </c>
    </row>
    <row r="59" spans="1:31" ht="23.25">
      <c r="A59" s="66" t="s">
        <v>101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</row>
    <row r="60" spans="1:31" ht="141.75" customHeight="1">
      <c r="A60" s="40" t="s">
        <v>103</v>
      </c>
      <c r="B60" s="40" t="s">
        <v>104</v>
      </c>
      <c r="C60" s="40" t="s">
        <v>102</v>
      </c>
      <c r="D60" s="28">
        <f>E60+F60+G60+H60+I60+J60</f>
        <v>2588.6141500000003</v>
      </c>
      <c r="E60" s="31">
        <v>0</v>
      </c>
      <c r="F60" s="33">
        <f>3815.02426-1172.2-0.69276+9.42058-62.93793</f>
        <v>2588.6141500000003</v>
      </c>
      <c r="G60" s="30">
        <v>0</v>
      </c>
      <c r="H60" s="30">
        <v>0</v>
      </c>
      <c r="I60" s="31"/>
      <c r="J60" s="30"/>
      <c r="K60" s="28">
        <f>L60+M60+N60+O60+P60+Q60</f>
        <v>1172.2</v>
      </c>
      <c r="L60" s="31">
        <v>0</v>
      </c>
      <c r="M60" s="33">
        <v>1172.2</v>
      </c>
      <c r="N60" s="30">
        <v>0</v>
      </c>
      <c r="O60" s="30">
        <v>0</v>
      </c>
      <c r="P60" s="31">
        <v>0</v>
      </c>
      <c r="Q60" s="30">
        <v>0</v>
      </c>
      <c r="R60" s="28">
        <f>S60+T60+U60+V60+W60+X60</f>
        <v>0</v>
      </c>
      <c r="S60" s="31">
        <v>0</v>
      </c>
      <c r="T60" s="33">
        <v>0</v>
      </c>
      <c r="U60" s="30">
        <v>0</v>
      </c>
      <c r="V60" s="30">
        <v>0</v>
      </c>
      <c r="W60" s="31">
        <v>0</v>
      </c>
      <c r="X60" s="30">
        <v>0</v>
      </c>
      <c r="Y60" s="28">
        <f>Z60+AA60+AB60+AC60+AD60+AE60</f>
        <v>3760.81415</v>
      </c>
      <c r="Z60" s="31">
        <f aca="true" t="shared" si="22" ref="Z60:AE60">E60+L60+S60</f>
        <v>0</v>
      </c>
      <c r="AA60" s="31">
        <f t="shared" si="22"/>
        <v>3760.81415</v>
      </c>
      <c r="AB60" s="31">
        <f t="shared" si="22"/>
        <v>0</v>
      </c>
      <c r="AC60" s="31">
        <f t="shared" si="22"/>
        <v>0</v>
      </c>
      <c r="AD60" s="31">
        <f t="shared" si="22"/>
        <v>0</v>
      </c>
      <c r="AE60" s="31">
        <f t="shared" si="22"/>
        <v>0</v>
      </c>
    </row>
    <row r="61" spans="1:31" ht="133.5" customHeight="1">
      <c r="A61" s="69" t="s">
        <v>81</v>
      </c>
      <c r="B61" s="70"/>
      <c r="C61" s="71"/>
      <c r="D61" s="28">
        <f>D60</f>
        <v>2588.6141500000003</v>
      </c>
      <c r="E61" s="28">
        <f aca="true" t="shared" si="23" ref="E61:AC61">E60</f>
        <v>0</v>
      </c>
      <c r="F61" s="28">
        <f t="shared" si="23"/>
        <v>2588.6141500000003</v>
      </c>
      <c r="G61" s="28">
        <f t="shared" si="23"/>
        <v>0</v>
      </c>
      <c r="H61" s="28">
        <f t="shared" si="23"/>
        <v>0</v>
      </c>
      <c r="I61" s="28">
        <f t="shared" si="23"/>
        <v>0</v>
      </c>
      <c r="J61" s="28">
        <f t="shared" si="23"/>
        <v>0</v>
      </c>
      <c r="K61" s="28">
        <f t="shared" si="23"/>
        <v>1172.2</v>
      </c>
      <c r="L61" s="28">
        <f t="shared" si="23"/>
        <v>0</v>
      </c>
      <c r="M61" s="28">
        <f t="shared" si="23"/>
        <v>1172.2</v>
      </c>
      <c r="N61" s="28">
        <f t="shared" si="23"/>
        <v>0</v>
      </c>
      <c r="O61" s="28">
        <f t="shared" si="23"/>
        <v>0</v>
      </c>
      <c r="P61" s="28">
        <f t="shared" si="23"/>
        <v>0</v>
      </c>
      <c r="Q61" s="28">
        <f t="shared" si="23"/>
        <v>0</v>
      </c>
      <c r="R61" s="28">
        <f t="shared" si="23"/>
        <v>0</v>
      </c>
      <c r="S61" s="28">
        <f t="shared" si="23"/>
        <v>0</v>
      </c>
      <c r="T61" s="28">
        <f t="shared" si="23"/>
        <v>0</v>
      </c>
      <c r="U61" s="28">
        <f t="shared" si="23"/>
        <v>0</v>
      </c>
      <c r="V61" s="28">
        <f t="shared" si="23"/>
        <v>0</v>
      </c>
      <c r="W61" s="28">
        <f t="shared" si="23"/>
        <v>0</v>
      </c>
      <c r="X61" s="28">
        <f t="shared" si="23"/>
        <v>0</v>
      </c>
      <c r="Y61" s="28">
        <f t="shared" si="23"/>
        <v>3760.81415</v>
      </c>
      <c r="Z61" s="28">
        <f t="shared" si="23"/>
        <v>0</v>
      </c>
      <c r="AA61" s="28">
        <f t="shared" si="23"/>
        <v>3760.81415</v>
      </c>
      <c r="AB61" s="28">
        <f t="shared" si="23"/>
        <v>0</v>
      </c>
      <c r="AC61" s="28">
        <f t="shared" si="23"/>
        <v>0</v>
      </c>
      <c r="AD61" s="28" t="e">
        <f>AD60+#REF!</f>
        <v>#REF!</v>
      </c>
      <c r="AE61" s="28" t="e">
        <f>AE60+#REF!</f>
        <v>#REF!</v>
      </c>
    </row>
    <row r="62" spans="1:32" ht="146.25" customHeight="1">
      <c r="A62" s="59" t="s">
        <v>82</v>
      </c>
      <c r="B62" s="59"/>
      <c r="C62" s="59"/>
      <c r="D62" s="28">
        <f aca="true" t="shared" si="24" ref="D62:AC62">D58+D51+D42+D30+D60</f>
        <v>379235.19921</v>
      </c>
      <c r="E62" s="28">
        <f t="shared" si="24"/>
        <v>208110.85609</v>
      </c>
      <c r="F62" s="28">
        <f t="shared" si="24"/>
        <v>171124.34312</v>
      </c>
      <c r="G62" s="28">
        <f t="shared" si="24"/>
        <v>0</v>
      </c>
      <c r="H62" s="28">
        <f t="shared" si="24"/>
        <v>0</v>
      </c>
      <c r="I62" s="28" t="e">
        <f t="shared" si="24"/>
        <v>#REF!</v>
      </c>
      <c r="J62" s="28" t="e">
        <f t="shared" si="24"/>
        <v>#REF!</v>
      </c>
      <c r="K62" s="28">
        <f t="shared" si="24"/>
        <v>99407.36013</v>
      </c>
      <c r="L62" s="28">
        <f t="shared" si="24"/>
        <v>51127.899999999994</v>
      </c>
      <c r="M62" s="28">
        <f t="shared" si="24"/>
        <v>48279.46012999999</v>
      </c>
      <c r="N62" s="28">
        <f t="shared" si="24"/>
        <v>0</v>
      </c>
      <c r="O62" s="28">
        <f t="shared" si="24"/>
        <v>0</v>
      </c>
      <c r="P62" s="28" t="e">
        <f t="shared" si="24"/>
        <v>#REF!</v>
      </c>
      <c r="Q62" s="28" t="e">
        <f t="shared" si="24"/>
        <v>#REF!</v>
      </c>
      <c r="R62" s="28">
        <f t="shared" si="24"/>
        <v>26564.11387</v>
      </c>
      <c r="S62" s="28">
        <f t="shared" si="24"/>
        <v>13783.3</v>
      </c>
      <c r="T62" s="28">
        <f t="shared" si="24"/>
        <v>12780.81387</v>
      </c>
      <c r="U62" s="28">
        <f t="shared" si="24"/>
        <v>0</v>
      </c>
      <c r="V62" s="28">
        <f t="shared" si="24"/>
        <v>0</v>
      </c>
      <c r="W62" s="28" t="e">
        <f t="shared" si="24"/>
        <v>#REF!</v>
      </c>
      <c r="X62" s="28" t="e">
        <f t="shared" si="24"/>
        <v>#REF!</v>
      </c>
      <c r="Y62" s="28">
        <f t="shared" si="24"/>
        <v>505206.67321000004</v>
      </c>
      <c r="Z62" s="28">
        <f t="shared" si="24"/>
        <v>273022.05608999997</v>
      </c>
      <c r="AA62" s="28">
        <f t="shared" si="24"/>
        <v>232184.61712</v>
      </c>
      <c r="AB62" s="28">
        <f t="shared" si="24"/>
        <v>0</v>
      </c>
      <c r="AC62" s="28">
        <f t="shared" si="24"/>
        <v>0</v>
      </c>
      <c r="AD62" s="28" t="e">
        <f>AD58+AD51+AD42+AD30</f>
        <v>#REF!</v>
      </c>
      <c r="AE62" s="28" t="e">
        <f>AE58+AE51+AE42+AE30</f>
        <v>#REF!</v>
      </c>
      <c r="AF62" s="48"/>
    </row>
    <row r="63" spans="1:32" ht="30" customHeight="1">
      <c r="A63" s="64" t="s">
        <v>83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48"/>
    </row>
    <row r="64" spans="1:32" ht="99" customHeight="1">
      <c r="A64" s="65" t="s">
        <v>106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48"/>
    </row>
    <row r="65" spans="5:26" ht="21">
      <c r="E65" s="17"/>
      <c r="L65" s="17"/>
      <c r="S65" s="17"/>
      <c r="Z65" s="17"/>
    </row>
    <row r="66" spans="5:26" ht="21">
      <c r="E66" s="17"/>
      <c r="L66" s="17"/>
      <c r="S66" s="17"/>
      <c r="Z66" s="17"/>
    </row>
  </sheetData>
  <sheetProtection/>
  <mergeCells count="47">
    <mergeCell ref="D16:J16"/>
    <mergeCell ref="K17:K18"/>
    <mergeCell ref="A20:AE20"/>
    <mergeCell ref="A30:C30"/>
    <mergeCell ref="A59:AE59"/>
    <mergeCell ref="A39:A41"/>
    <mergeCell ref="A52:AE52"/>
    <mergeCell ref="B38:AC38"/>
    <mergeCell ref="B48:AE48"/>
    <mergeCell ref="C15:C18"/>
    <mergeCell ref="A15:A18"/>
    <mergeCell ref="Y16:AE16"/>
    <mergeCell ref="Y17:Y18"/>
    <mergeCell ref="Z17:AE17"/>
    <mergeCell ref="Y15:AE15"/>
    <mergeCell ref="L17:Q17"/>
    <mergeCell ref="S17:X17"/>
    <mergeCell ref="R16:X16"/>
    <mergeCell ref="R17:R18"/>
    <mergeCell ref="E17:J17"/>
    <mergeCell ref="A63:AE63"/>
    <mergeCell ref="A64:AE64"/>
    <mergeCell ref="A31:AE31"/>
    <mergeCell ref="A43:AE43"/>
    <mergeCell ref="A58:C58"/>
    <mergeCell ref="A51:C51"/>
    <mergeCell ref="A42:C42"/>
    <mergeCell ref="A62:C62"/>
    <mergeCell ref="A61:C61"/>
    <mergeCell ref="Y5:AE5"/>
    <mergeCell ref="Y6:AE6"/>
    <mergeCell ref="Y7:AE7"/>
    <mergeCell ref="Y8:AE8"/>
    <mergeCell ref="A13:AE13"/>
    <mergeCell ref="Y9:AE9"/>
    <mergeCell ref="Y10:AE10"/>
    <mergeCell ref="Y11:AE11"/>
    <mergeCell ref="Y1:AE1"/>
    <mergeCell ref="Y2:AE2"/>
    <mergeCell ref="Y3:AE3"/>
    <mergeCell ref="A26:A27"/>
    <mergeCell ref="B39:B41"/>
    <mergeCell ref="K16:Q16"/>
    <mergeCell ref="B15:B18"/>
    <mergeCell ref="D17:D18"/>
    <mergeCell ref="D15:X15"/>
    <mergeCell ref="B26:B27"/>
  </mergeCells>
  <printOptions horizontalCentered="1"/>
  <pageMargins left="0.15748031496062992" right="0.15748031496062992" top="0.15748031496062992" bottom="0.15748031496062992" header="0.1968503937007874" footer="0.1968503937007874"/>
  <pageSetup fitToHeight="6" horizontalDpi="600" verticalDpi="600" orientation="landscape" paperSize="9" scale="24" r:id="rId1"/>
  <rowBreaks count="3" manualBreakCount="3">
    <brk id="27" max="28" man="1"/>
    <brk id="37" max="28" man="1"/>
    <brk id="5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zoomScalePageLayoutView="0" workbookViewId="0" topLeftCell="A17">
      <selection activeCell="C33" sqref="C33:C34"/>
    </sheetView>
  </sheetViews>
  <sheetFormatPr defaultColWidth="9.140625" defaultRowHeight="15"/>
  <cols>
    <col min="2" max="2" width="42.8515625" style="0" customWidth="1"/>
  </cols>
  <sheetData>
    <row r="6" ht="15.75" thickBot="1"/>
    <row r="7" spans="1:3" ht="15.75" thickBot="1">
      <c r="A7" s="3">
        <v>4.5</v>
      </c>
      <c r="B7" s="4">
        <v>1000</v>
      </c>
      <c r="C7" s="4">
        <f>A7*B7</f>
        <v>4500</v>
      </c>
    </row>
    <row r="8" spans="1:3" ht="15.75" thickBot="1">
      <c r="A8" s="5">
        <v>3.2</v>
      </c>
      <c r="B8" s="6">
        <v>1000</v>
      </c>
      <c r="C8" s="4">
        <f>A8*B8</f>
        <v>3200</v>
      </c>
    </row>
    <row r="9" spans="1:3" ht="15.75" thickBot="1">
      <c r="A9" s="5">
        <v>2.3</v>
      </c>
      <c r="B9" s="6">
        <v>1000</v>
      </c>
      <c r="C9" s="4">
        <f>A9*B9</f>
        <v>2300</v>
      </c>
    </row>
    <row r="11" ht="15">
      <c r="C11">
        <f>C7+C8+C9</f>
        <v>10000</v>
      </c>
    </row>
    <row r="16" ht="15.75" thickBot="1"/>
    <row r="17" spans="1:6" ht="13.5" customHeight="1" thickBot="1">
      <c r="A17" s="3" t="s">
        <v>13</v>
      </c>
      <c r="B17" s="7" t="s">
        <v>14</v>
      </c>
      <c r="C17" s="4" t="s">
        <v>15</v>
      </c>
      <c r="D17" s="4">
        <v>58</v>
      </c>
      <c r="E17" s="4">
        <v>15</v>
      </c>
      <c r="F17" s="4">
        <f aca="true" t="shared" si="0" ref="F17:F22">D17*E17</f>
        <v>870</v>
      </c>
    </row>
    <row r="18" spans="1:6" ht="13.5" customHeight="1" thickBot="1">
      <c r="A18" s="5" t="s">
        <v>16</v>
      </c>
      <c r="B18" s="8" t="s">
        <v>17</v>
      </c>
      <c r="C18" s="6" t="s">
        <v>15</v>
      </c>
      <c r="D18" s="6">
        <v>900</v>
      </c>
      <c r="E18" s="6">
        <v>3</v>
      </c>
      <c r="F18" s="4">
        <f t="shared" si="0"/>
        <v>2700</v>
      </c>
    </row>
    <row r="19" spans="1:6" ht="13.5" customHeight="1" thickBot="1">
      <c r="A19" s="5" t="s">
        <v>18</v>
      </c>
      <c r="B19" s="8" t="s">
        <v>19</v>
      </c>
      <c r="C19" s="6" t="s">
        <v>15</v>
      </c>
      <c r="D19" s="6">
        <v>20</v>
      </c>
      <c r="E19" s="6">
        <v>30</v>
      </c>
      <c r="F19" s="4">
        <f t="shared" si="0"/>
        <v>600</v>
      </c>
    </row>
    <row r="20" spans="1:6" ht="13.5" customHeight="1" thickBot="1">
      <c r="A20" s="5" t="s">
        <v>20</v>
      </c>
      <c r="B20" s="8" t="s">
        <v>21</v>
      </c>
      <c r="C20" s="6" t="s">
        <v>15</v>
      </c>
      <c r="D20" s="6">
        <v>250</v>
      </c>
      <c r="E20" s="6">
        <v>0</v>
      </c>
      <c r="F20" s="4">
        <f t="shared" si="0"/>
        <v>0</v>
      </c>
    </row>
    <row r="21" spans="1:6" ht="13.5" customHeight="1" thickBot="1">
      <c r="A21" s="5" t="s">
        <v>22</v>
      </c>
      <c r="B21" s="8" t="s">
        <v>23</v>
      </c>
      <c r="C21" s="6" t="s">
        <v>15</v>
      </c>
      <c r="D21" s="6">
        <v>10</v>
      </c>
      <c r="E21" s="6">
        <v>136</v>
      </c>
      <c r="F21" s="4">
        <f t="shared" si="0"/>
        <v>1360</v>
      </c>
    </row>
    <row r="22" spans="1:6" ht="13.5" customHeight="1">
      <c r="A22" s="75" t="s">
        <v>24</v>
      </c>
      <c r="B22" s="9" t="s">
        <v>25</v>
      </c>
      <c r="C22" s="75" t="s">
        <v>15</v>
      </c>
      <c r="D22" s="75">
        <v>2700</v>
      </c>
      <c r="E22" s="75">
        <v>2</v>
      </c>
      <c r="F22" s="75">
        <f t="shared" si="0"/>
        <v>5400</v>
      </c>
    </row>
    <row r="23" spans="1:6" ht="33.75" customHeight="1" thickBot="1">
      <c r="A23" s="76"/>
      <c r="B23" s="8" t="s">
        <v>30</v>
      </c>
      <c r="C23" s="76"/>
      <c r="D23" s="76"/>
      <c r="E23" s="76"/>
      <c r="F23" s="76"/>
    </row>
    <row r="24" spans="1:6" ht="13.5" customHeight="1" thickBot="1">
      <c r="A24" s="5" t="s">
        <v>26</v>
      </c>
      <c r="B24" s="8" t="s">
        <v>27</v>
      </c>
      <c r="C24" s="6" t="s">
        <v>15</v>
      </c>
      <c r="D24" s="6">
        <v>3067</v>
      </c>
      <c r="E24" s="6">
        <v>1</v>
      </c>
      <c r="F24" s="6">
        <f>D24*E24</f>
        <v>3067</v>
      </c>
    </row>
    <row r="25" spans="1:6" ht="13.5" customHeight="1" thickBot="1">
      <c r="A25" s="5" t="s">
        <v>28</v>
      </c>
      <c r="B25" s="8" t="s">
        <v>29</v>
      </c>
      <c r="C25" s="6" t="s">
        <v>15</v>
      </c>
      <c r="D25" s="6">
        <v>600</v>
      </c>
      <c r="E25" s="6">
        <v>10</v>
      </c>
      <c r="F25" s="6">
        <f>D25*E25</f>
        <v>6000</v>
      </c>
    </row>
    <row r="27" ht="15">
      <c r="F27">
        <f>F17+F18+F19+F20+F21+F22+F24+F25</f>
        <v>19997</v>
      </c>
    </row>
    <row r="29" ht="15.75" thickBot="1"/>
    <row r="30" spans="1:6" ht="77.25">
      <c r="A30" s="73" t="s">
        <v>34</v>
      </c>
      <c r="B30" s="75" t="s">
        <v>35</v>
      </c>
      <c r="C30" s="75" t="s">
        <v>36</v>
      </c>
      <c r="D30" s="11" t="s">
        <v>37</v>
      </c>
      <c r="E30" s="10" t="s">
        <v>39</v>
      </c>
      <c r="F30" s="73" t="s">
        <v>41</v>
      </c>
    </row>
    <row r="31" spans="1:6" ht="15.75" thickBot="1">
      <c r="A31" s="74"/>
      <c r="B31" s="76"/>
      <c r="C31" s="76"/>
      <c r="D31" s="12" t="s">
        <v>38</v>
      </c>
      <c r="E31" s="6" t="s">
        <v>40</v>
      </c>
      <c r="F31" s="74"/>
    </row>
    <row r="32" spans="1:6" ht="90" thickBot="1">
      <c r="A32" s="13" t="s">
        <v>42</v>
      </c>
      <c r="B32" s="6" t="s">
        <v>15</v>
      </c>
      <c r="C32" s="6">
        <v>3</v>
      </c>
      <c r="D32" s="6">
        <v>11</v>
      </c>
      <c r="E32" s="6">
        <f>C32*D32</f>
        <v>33</v>
      </c>
      <c r="F32" s="6" t="s">
        <v>43</v>
      </c>
    </row>
    <row r="33" spans="1:6" ht="51">
      <c r="A33" s="75" t="s">
        <v>44</v>
      </c>
      <c r="B33" s="75" t="s">
        <v>15</v>
      </c>
      <c r="C33" s="75">
        <v>20</v>
      </c>
      <c r="D33" s="75">
        <v>4.35</v>
      </c>
      <c r="E33" s="75">
        <f>C33*D33</f>
        <v>87</v>
      </c>
      <c r="F33" s="14" t="s">
        <v>45</v>
      </c>
    </row>
    <row r="34" spans="1:6" ht="115.5" thickBot="1">
      <c r="A34" s="76"/>
      <c r="B34" s="76"/>
      <c r="C34" s="76"/>
      <c r="D34" s="76"/>
      <c r="E34" s="76"/>
      <c r="F34" s="6" t="s">
        <v>46</v>
      </c>
    </row>
    <row r="35" spans="1:6" ht="15.75" thickBot="1">
      <c r="A35" s="15" t="s">
        <v>4</v>
      </c>
      <c r="B35" s="6"/>
      <c r="C35" s="6"/>
      <c r="D35" s="6"/>
      <c r="E35" s="6">
        <f>E32+E33</f>
        <v>120</v>
      </c>
      <c r="F35" s="6"/>
    </row>
  </sheetData>
  <sheetProtection/>
  <mergeCells count="14">
    <mergeCell ref="F22:F23"/>
    <mergeCell ref="A22:A23"/>
    <mergeCell ref="C22:C23"/>
    <mergeCell ref="D22:D23"/>
    <mergeCell ref="E22:E23"/>
    <mergeCell ref="A30:A31"/>
    <mergeCell ref="B30:B31"/>
    <mergeCell ref="C30:C31"/>
    <mergeCell ref="F30:F31"/>
    <mergeCell ref="E33:E34"/>
    <mergeCell ref="A33:A34"/>
    <mergeCell ref="B33:B34"/>
    <mergeCell ref="C33:C34"/>
    <mergeCell ref="D33:D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User</cp:lastModifiedBy>
  <cp:lastPrinted>2023-01-24T12:46:12Z</cp:lastPrinted>
  <dcterms:created xsi:type="dcterms:W3CDTF">2018-07-09T12:42:33Z</dcterms:created>
  <dcterms:modified xsi:type="dcterms:W3CDTF">2023-01-25T12:52:36Z</dcterms:modified>
  <cp:category/>
  <cp:version/>
  <cp:contentType/>
  <cp:contentStatus/>
</cp:coreProperties>
</file>